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348" windowWidth="14808" windowHeight="7776"/>
  </bookViews>
  <sheets>
    <sheet name="РГД 2025-2027(00.09.25)" sheetId="12" r:id="rId1"/>
  </sheets>
  <definedNames>
    <definedName name="_xlnm._FilterDatabase" localSheetId="0" hidden="1">'РГД 2025-2027(00.09.25)'!$A$8:$F$277</definedName>
    <definedName name="_xlnm.Print_Titles" localSheetId="0">'РГД 2025-2027(00.09.25)'!$5:$6</definedName>
    <definedName name="_xlnm.Print_Area" localSheetId="0">'РГД 2025-2027(00.09.25)'!$A$1:$G$284</definedName>
  </definedNames>
  <calcPr calcId="152511"/>
</workbook>
</file>

<file path=xl/calcChain.xml><?xml version="1.0" encoding="utf-8"?>
<calcChain xmlns="http://schemas.openxmlformats.org/spreadsheetml/2006/main">
  <c r="F179" i="12" l="1"/>
  <c r="E179" i="12"/>
  <c r="F123" i="12"/>
  <c r="E123" i="12"/>
  <c r="F113" i="12"/>
  <c r="E113" i="12"/>
  <c r="D68" i="12"/>
  <c r="D67" i="12"/>
  <c r="D63" i="12"/>
  <c r="D62" i="12"/>
  <c r="F11" i="12"/>
  <c r="E11" i="12"/>
  <c r="D11" i="12"/>
  <c r="F17" i="12"/>
  <c r="E17" i="12"/>
  <c r="D17" i="12"/>
  <c r="F18" i="12" l="1"/>
  <c r="E18" i="12"/>
  <c r="D18" i="12"/>
  <c r="F19" i="12"/>
  <c r="E19" i="12"/>
  <c r="D19" i="12"/>
  <c r="F20" i="12"/>
  <c r="E20" i="12"/>
  <c r="D20" i="12"/>
  <c r="F21" i="12"/>
  <c r="E21" i="12"/>
  <c r="D21" i="12"/>
  <c r="F10" i="12" l="1"/>
  <c r="D10" i="12"/>
  <c r="E10" i="12"/>
  <c r="D182" i="12"/>
  <c r="F135" i="12"/>
  <c r="E135" i="12"/>
  <c r="D135" i="12"/>
  <c r="D114" i="12"/>
  <c r="D113" i="12" s="1"/>
  <c r="F103" i="12"/>
  <c r="E103" i="12"/>
  <c r="D104" i="12"/>
  <c r="D103" i="12" s="1"/>
  <c r="F100" i="12"/>
  <c r="E100" i="12"/>
  <c r="D101" i="12"/>
  <c r="D100" i="12" s="1"/>
  <c r="F96" i="12"/>
  <c r="E96" i="12"/>
  <c r="D97" i="12"/>
  <c r="D96" i="12" s="1"/>
  <c r="F75" i="12"/>
  <c r="E75" i="12"/>
  <c r="D76" i="12"/>
  <c r="D75" i="12" s="1"/>
  <c r="D74" i="12" s="1"/>
  <c r="F68" i="12"/>
  <c r="E68" i="12"/>
  <c r="F63" i="12"/>
  <c r="E63" i="12"/>
  <c r="D59" i="12"/>
  <c r="D48" i="12" l="1"/>
  <c r="D53" i="12"/>
  <c r="D51" i="12"/>
  <c r="D161" i="12" l="1"/>
  <c r="D163" i="12"/>
  <c r="F81" i="12" l="1"/>
  <c r="E81" i="12"/>
  <c r="D81" i="12"/>
  <c r="D128" i="12" l="1"/>
  <c r="D179" i="12" l="1"/>
  <c r="D142" i="12"/>
  <c r="D270" i="12" l="1"/>
  <c r="D276" i="12"/>
  <c r="F263" i="12" l="1"/>
  <c r="F262" i="12" s="1"/>
  <c r="E263" i="12"/>
  <c r="E262" i="12" s="1"/>
  <c r="D263" i="12"/>
  <c r="D262" i="12" s="1"/>
  <c r="D235" i="12"/>
  <c r="D234" i="12"/>
  <c r="F72" i="12" l="1"/>
  <c r="E72" i="12"/>
  <c r="D72" i="12"/>
  <c r="D233" i="12" l="1"/>
  <c r="D226" i="12"/>
  <c r="D218" i="12" l="1"/>
  <c r="D192" i="12" l="1"/>
  <c r="D56" i="12" l="1"/>
  <c r="D43" i="12"/>
  <c r="F186" i="12" l="1"/>
  <c r="E186" i="12"/>
  <c r="D186" i="12"/>
  <c r="F177" i="12"/>
  <c r="E177" i="12"/>
  <c r="D177" i="12"/>
  <c r="D176" i="12" s="1"/>
  <c r="D131" i="12"/>
  <c r="D93" i="12"/>
  <c r="D175" i="12"/>
  <c r="D123" i="12" l="1"/>
  <c r="D122" i="12" s="1"/>
  <c r="F176" i="12"/>
  <c r="E176" i="12"/>
  <c r="F260" i="12"/>
  <c r="E260" i="12"/>
  <c r="D260" i="12"/>
  <c r="D272" i="12" l="1"/>
  <c r="D271" i="12" s="1"/>
  <c r="D268" i="12"/>
  <c r="D267" i="12" s="1"/>
  <c r="D266" i="12" s="1"/>
  <c r="D265" i="12" s="1"/>
  <c r="F272" i="12"/>
  <c r="E272" i="12"/>
  <c r="E271" i="12" s="1"/>
  <c r="F271" i="12"/>
  <c r="F268" i="12"/>
  <c r="F267" i="12" s="1"/>
  <c r="F266" i="12" s="1"/>
  <c r="F265" i="12" s="1"/>
  <c r="E268" i="12"/>
  <c r="E267" i="12" s="1"/>
  <c r="E266" i="12" s="1"/>
  <c r="E265" i="12" s="1"/>
  <c r="F217" i="12"/>
  <c r="E217" i="12"/>
  <c r="D217" i="12"/>
  <c r="F213" i="12"/>
  <c r="E213" i="12"/>
  <c r="D213" i="12"/>
  <c r="D223" i="12"/>
  <c r="D222" i="12" s="1"/>
  <c r="D258" i="12"/>
  <c r="F258" i="12"/>
  <c r="E258" i="12"/>
  <c r="D256" i="12"/>
  <c r="F256" i="12"/>
  <c r="E256" i="12"/>
  <c r="D254" i="12"/>
  <c r="F254" i="12"/>
  <c r="E254" i="12"/>
  <c r="F253" i="12" l="1"/>
  <c r="E253" i="12"/>
  <c r="D253" i="12"/>
  <c r="F209" i="12"/>
  <c r="E209" i="12"/>
  <c r="D209" i="12"/>
  <c r="F212" i="12"/>
  <c r="E212" i="12"/>
  <c r="D212" i="12"/>
  <c r="F216" i="12"/>
  <c r="E216" i="12"/>
  <c r="D216" i="12"/>
  <c r="D206" i="12"/>
  <c r="F242" i="12" l="1"/>
  <c r="F239" i="12" s="1"/>
  <c r="E242" i="12"/>
  <c r="E239" i="12" s="1"/>
  <c r="D242" i="12"/>
  <c r="D239" i="12" s="1"/>
  <c r="F219" i="12"/>
  <c r="E219" i="12"/>
  <c r="D219" i="12"/>
  <c r="E215" i="12" l="1"/>
  <c r="F215" i="12"/>
  <c r="D215" i="12"/>
  <c r="F211" i="12"/>
  <c r="D211" i="12"/>
  <c r="E211" i="12"/>
  <c r="F207" i="12"/>
  <c r="D207" i="12"/>
  <c r="E207" i="12"/>
  <c r="F205" i="12"/>
  <c r="E205" i="12"/>
  <c r="D205" i="12"/>
  <c r="F226" i="12"/>
  <c r="F222" i="12" s="1"/>
  <c r="E226" i="12"/>
  <c r="E222" i="12" s="1"/>
  <c r="F202" i="12"/>
  <c r="E202" i="12"/>
  <c r="D202" i="12"/>
  <c r="F250" i="12" l="1"/>
  <c r="F249" i="12" s="1"/>
  <c r="E250" i="12"/>
  <c r="E249" i="12" s="1"/>
  <c r="D250" i="12"/>
  <c r="D249" i="12" s="1"/>
  <c r="F247" i="12"/>
  <c r="E247" i="12"/>
  <c r="D247" i="12"/>
  <c r="F245" i="12"/>
  <c r="E245" i="12"/>
  <c r="D245" i="12"/>
  <c r="F238" i="12"/>
  <c r="E238" i="12"/>
  <c r="D238" i="12"/>
  <c r="F221" i="12"/>
  <c r="F204" i="12" s="1"/>
  <c r="E221" i="12"/>
  <c r="E204" i="12" s="1"/>
  <c r="D221" i="12"/>
  <c r="D204" i="12" s="1"/>
  <c r="F200" i="12"/>
  <c r="F199" i="12" s="1"/>
  <c r="E200" i="12"/>
  <c r="E199" i="12" s="1"/>
  <c r="D200" i="12"/>
  <c r="D199" i="12" s="1"/>
  <c r="F195" i="12"/>
  <c r="F194" i="12" s="1"/>
  <c r="F193" i="12" s="1"/>
  <c r="E195" i="12"/>
  <c r="D195" i="12"/>
  <c r="D194" i="12" s="1"/>
  <c r="D193" i="12" s="1"/>
  <c r="E194" i="12"/>
  <c r="E193" i="12" s="1"/>
  <c r="F190" i="12"/>
  <c r="F189" i="12" s="1"/>
  <c r="F185" i="12" s="1"/>
  <c r="E190" i="12"/>
  <c r="E189" i="12" s="1"/>
  <c r="E185" i="12" s="1"/>
  <c r="D190" i="12"/>
  <c r="D189" i="12" s="1"/>
  <c r="D185" i="12" s="1"/>
  <c r="F174" i="12"/>
  <c r="E174" i="12"/>
  <c r="D174" i="12"/>
  <c r="F173" i="12"/>
  <c r="E173" i="12"/>
  <c r="D173" i="12"/>
  <c r="F172" i="12"/>
  <c r="E172" i="12"/>
  <c r="D172" i="12"/>
  <c r="F170" i="12"/>
  <c r="F168" i="12" s="1"/>
  <c r="E170" i="12"/>
  <c r="E168" i="12" s="1"/>
  <c r="D170" i="12"/>
  <c r="D168" i="12" s="1"/>
  <c r="F167" i="12"/>
  <c r="F166" i="12" s="1"/>
  <c r="E167" i="12"/>
  <c r="D167" i="12"/>
  <c r="D166" i="12" s="1"/>
  <c r="E166" i="12"/>
  <c r="F164" i="12"/>
  <c r="E164" i="12"/>
  <c r="D164" i="12"/>
  <c r="F163" i="12"/>
  <c r="F162" i="12" s="1"/>
  <c r="E163" i="12"/>
  <c r="E162" i="12" s="1"/>
  <c r="D162" i="12"/>
  <c r="F161" i="12"/>
  <c r="F160" i="12" s="1"/>
  <c r="E161" i="12"/>
  <c r="E160" i="12" s="1"/>
  <c r="D160" i="12"/>
  <c r="F158" i="12"/>
  <c r="E158" i="12"/>
  <c r="D158" i="12"/>
  <c r="F156" i="12"/>
  <c r="E156" i="12"/>
  <c r="D156" i="12"/>
  <c r="F154" i="12"/>
  <c r="E154" i="12"/>
  <c r="D154" i="12"/>
  <c r="F153" i="12"/>
  <c r="E153" i="12"/>
  <c r="D153" i="12"/>
  <c r="F152" i="12"/>
  <c r="E152" i="12"/>
  <c r="D152" i="12"/>
  <c r="F150" i="12"/>
  <c r="E150" i="12"/>
  <c r="D150" i="12"/>
  <c r="F149" i="12"/>
  <c r="E149" i="12"/>
  <c r="D149" i="12"/>
  <c r="F147" i="12"/>
  <c r="F145" i="12" s="1"/>
  <c r="E147" i="12"/>
  <c r="D147" i="12"/>
  <c r="D145" i="12" s="1"/>
  <c r="E145" i="12"/>
  <c r="F141" i="12"/>
  <c r="E141" i="12"/>
  <c r="D141" i="12"/>
  <c r="F139" i="12"/>
  <c r="E139" i="12"/>
  <c r="D139" i="12"/>
  <c r="F134" i="12"/>
  <c r="D134" i="12"/>
  <c r="E134" i="12"/>
  <c r="F122" i="12"/>
  <c r="F121" i="12" s="1"/>
  <c r="D121" i="12"/>
  <c r="E122" i="12"/>
  <c r="E121" i="12" s="1"/>
  <c r="F119" i="12"/>
  <c r="F118" i="12" s="1"/>
  <c r="F117" i="12" s="1"/>
  <c r="E119" i="12"/>
  <c r="E118" i="12" s="1"/>
  <c r="E117" i="12" s="1"/>
  <c r="E116" i="12" s="1"/>
  <c r="D119" i="12"/>
  <c r="D118" i="12" s="1"/>
  <c r="D117" i="12" s="1"/>
  <c r="D116" i="12" s="1"/>
  <c r="F112" i="12"/>
  <c r="E112" i="12"/>
  <c r="D112" i="12"/>
  <c r="F110" i="12"/>
  <c r="F107" i="12" s="1"/>
  <c r="E110" i="12"/>
  <c r="E107" i="12" s="1"/>
  <c r="D110" i="12"/>
  <c r="D107" i="12" s="1"/>
  <c r="F93" i="12"/>
  <c r="F91" i="12" s="1"/>
  <c r="F90" i="12" s="1"/>
  <c r="F89" i="12" s="1"/>
  <c r="E93" i="12"/>
  <c r="E91" i="12" s="1"/>
  <c r="E90" i="12" s="1"/>
  <c r="E89" i="12" s="1"/>
  <c r="D91" i="12"/>
  <c r="D90" i="12" s="1"/>
  <c r="D89" i="12" s="1"/>
  <c r="F86" i="12"/>
  <c r="E86" i="12"/>
  <c r="D86" i="12"/>
  <c r="F84" i="12"/>
  <c r="E84" i="12"/>
  <c r="D84" i="12"/>
  <c r="F79" i="12"/>
  <c r="F78" i="12" s="1"/>
  <c r="E79" i="12"/>
  <c r="E78" i="12" s="1"/>
  <c r="D79" i="12"/>
  <c r="D78" i="12" s="1"/>
  <c r="F74" i="12"/>
  <c r="E74" i="12"/>
  <c r="F67" i="12"/>
  <c r="E67" i="12"/>
  <c r="F62" i="12"/>
  <c r="E62" i="12"/>
  <c r="F58" i="12"/>
  <c r="F57" i="12" s="1"/>
  <c r="E58" i="12"/>
  <c r="E57" i="12" s="1"/>
  <c r="D58" i="12"/>
  <c r="D57" i="12" s="1"/>
  <c r="F56" i="12"/>
  <c r="F55" i="12" s="1"/>
  <c r="E56" i="12"/>
  <c r="E55" i="12" s="1"/>
  <c r="D55" i="12"/>
  <c r="F52" i="12"/>
  <c r="E52" i="12"/>
  <c r="D52" i="12"/>
  <c r="F50" i="12"/>
  <c r="E50" i="12"/>
  <c r="D50" i="12"/>
  <c r="F47" i="12"/>
  <c r="E47" i="12"/>
  <c r="D47" i="12"/>
  <c r="F44" i="12"/>
  <c r="E44" i="12"/>
  <c r="D44" i="12"/>
  <c r="F42" i="12"/>
  <c r="E42" i="12"/>
  <c r="D42" i="12"/>
  <c r="F40" i="12"/>
  <c r="E40" i="12"/>
  <c r="D40" i="12"/>
  <c r="F38" i="12"/>
  <c r="E38" i="12"/>
  <c r="D38" i="12"/>
  <c r="F33" i="12"/>
  <c r="E33" i="12"/>
  <c r="D33" i="12"/>
  <c r="F31" i="12"/>
  <c r="E31" i="12"/>
  <c r="D31" i="12"/>
  <c r="F29" i="12"/>
  <c r="E29" i="12"/>
  <c r="D29" i="12"/>
  <c r="F27" i="12"/>
  <c r="E27" i="12"/>
  <c r="D27" i="12"/>
  <c r="F9" i="12"/>
  <c r="E9" i="12"/>
  <c r="D9" i="12"/>
  <c r="F61" i="12" l="1"/>
  <c r="D61" i="12"/>
  <c r="E61" i="12"/>
  <c r="E106" i="12"/>
  <c r="F49" i="12"/>
  <c r="F46" i="12" s="1"/>
  <c r="E95" i="12"/>
  <c r="E94" i="12" s="1"/>
  <c r="E88" i="12" s="1"/>
  <c r="E171" i="12"/>
  <c r="D151" i="12"/>
  <c r="F151" i="12"/>
  <c r="D148" i="12"/>
  <c r="F148" i="12"/>
  <c r="E148" i="12"/>
  <c r="E49" i="12"/>
  <c r="E46" i="12" s="1"/>
  <c r="D49" i="12"/>
  <c r="D46" i="12" s="1"/>
  <c r="E151" i="12"/>
  <c r="D171" i="12"/>
  <c r="F171" i="12"/>
  <c r="F144" i="12" s="1"/>
  <c r="F143" i="12" s="1"/>
  <c r="D237" i="12"/>
  <c r="D198" i="12" s="1"/>
  <c r="D197" i="12" s="1"/>
  <c r="E26" i="12"/>
  <c r="E25" i="12" s="1"/>
  <c r="D106" i="12"/>
  <c r="D83" i="12"/>
  <c r="F83" i="12"/>
  <c r="D26" i="12"/>
  <c r="D25" i="12" s="1"/>
  <c r="F26" i="12"/>
  <c r="F25" i="12" s="1"/>
  <c r="D37" i="12"/>
  <c r="D36" i="12" s="1"/>
  <c r="F37" i="12"/>
  <c r="F36" i="12" s="1"/>
  <c r="E37" i="12"/>
  <c r="E36" i="12" s="1"/>
  <c r="D95" i="12"/>
  <c r="D94" i="12" s="1"/>
  <c r="D88" i="12" s="1"/>
  <c r="D60" i="12" s="1"/>
  <c r="F95" i="12"/>
  <c r="F94" i="12" s="1"/>
  <c r="F88" i="12" s="1"/>
  <c r="E237" i="12"/>
  <c r="E198" i="12" s="1"/>
  <c r="E197" i="12" s="1"/>
  <c r="F138" i="12"/>
  <c r="F133" i="12" s="1"/>
  <c r="F116" i="12"/>
  <c r="F106" i="12"/>
  <c r="E83" i="12"/>
  <c r="E54" i="12"/>
  <c r="F237" i="12"/>
  <c r="F198" i="12" s="1"/>
  <c r="F197" i="12" s="1"/>
  <c r="D54" i="12"/>
  <c r="F54" i="12"/>
  <c r="D138" i="12"/>
  <c r="D133" i="12" s="1"/>
  <c r="E138" i="12"/>
  <c r="E133" i="12" s="1"/>
  <c r="D144" i="12" l="1"/>
  <c r="D143" i="12" s="1"/>
  <c r="E144" i="12"/>
  <c r="E143" i="12" s="1"/>
  <c r="F60" i="12"/>
  <c r="E60" i="12"/>
  <c r="F8" i="12"/>
  <c r="F277" i="12" s="1"/>
  <c r="D8" i="12" l="1"/>
  <c r="D277" i="12" s="1"/>
  <c r="E8" i="12"/>
  <c r="E277" i="12" s="1"/>
</calcChain>
</file>

<file path=xl/sharedStrings.xml><?xml version="1.0" encoding="utf-8"?>
<sst xmlns="http://schemas.openxmlformats.org/spreadsheetml/2006/main" count="820" uniqueCount="512">
  <si>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</si>
  <si>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</si>
  <si>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</si>
  <si>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</si>
  <si>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</si>
  <si>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</si>
  <si>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</si>
  <si>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</si>
  <si>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182</t>
  </si>
  <si>
    <t>1 01 02010 01 0000 110</t>
  </si>
  <si>
    <t>1 01 02020 01 0000 110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</si>
  <si>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</si>
  <si>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</si>
  <si>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</si>
  <si>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</si>
  <si>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</si>
  <si>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</si>
  <si>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</si>
  <si>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</si>
  <si>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</si>
  <si>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</si>
  <si>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</si>
  <si>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</si>
  <si>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</si>
  <si>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</si>
  <si>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</si>
  <si>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</si>
  <si>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</si>
  <si>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</si>
  <si>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</si>
  <si>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</si>
  <si>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</si>
  <si>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</si>
  <si>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</si>
  <si>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</si>
  <si>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</si>
  <si>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</si>
  <si>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</si>
  <si>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1 05 04010 02 0000 110</t>
  </si>
  <si>
    <t>НАЛОГИ НА ИМУЩЕСТВО</t>
  </si>
  <si>
    <t>Налог на имущество физических лиц</t>
  </si>
  <si>
    <t>1 06 01020 04 0000 110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</si>
  <si>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</si>
  <si>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</si>
  <si>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</si>
  <si>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</si>
  <si>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</si>
  <si>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</si>
  <si>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</si>
  <si>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</si>
  <si>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</si>
  <si>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</si>
  <si>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</si>
  <si>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</si>
  <si>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</si>
  <si>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</si>
  <si>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</si>
  <si>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</si>
  <si>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</si>
  <si>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</si>
  <si>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</si>
  <si>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</si>
  <si>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</si>
  <si>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</si>
  <si>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</si>
  <si>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</si>
  <si>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</si>
  <si>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</si>
  <si>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</si>
  <si>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</si>
  <si>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</si>
  <si>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</si>
  <si>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</si>
  <si>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</si>
  <si>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</si>
  <si>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</si>
  <si>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</si>
  <si>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</si>
  <si>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</si>
  <si>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</si>
  <si>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</si>
  <si>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</si>
  <si>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</si>
  <si>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</si>
  <si>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</si>
  <si>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</si>
  <si>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</si>
  <si>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</si>
  <si>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</si>
  <si>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</si>
  <si>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</si>
  <si>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1 12 04042 04 1000 120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</si>
  <si>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</si>
  <si>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</si>
  <si>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</si>
  <si>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</si>
  <si>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</si>
  <si>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</si>
  <si>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</si>
  <si>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</si>
  <si>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</si>
  <si>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</si>
  <si>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</si>
  <si>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</si>
  <si>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</si>
  <si>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</si>
  <si>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</si>
  <si>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</si>
  <si>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</si>
  <si>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</si>
  <si>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</si>
  <si>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</si>
  <si>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</si>
  <si>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</si>
  <si>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</si>
  <si>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</si>
  <si>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</si>
  <si>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</si>
  <si>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</si>
  <si>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</si>
  <si>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</si>
  <si>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</si>
  <si>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</si>
  <si>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</si>
  <si>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</si>
  <si>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</si>
  <si>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</si>
  <si>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</si>
  <si>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</si>
  <si>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</si>
  <si>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</si>
  <si>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</si>
  <si>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</si>
  <si>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</si>
  <si>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</si>
  <si>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</si>
  <si>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</si>
  <si>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</si>
  <si>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</si>
  <si>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</si>
  <si>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</si>
  <si>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</si>
  <si>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</si>
  <si>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</si>
  <si>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</si>
  <si>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</si>
  <si>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</si>
  <si>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</si>
  <si>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</si>
  <si>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</si>
  <si>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</si>
  <si>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</si>
  <si>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</si>
  <si>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</si>
  <si>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</si>
  <si>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</si>
  <si>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</si>
  <si>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</si>
  <si>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</si>
  <si>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</si>
  <si>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</si>
  <si>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</si>
  <si>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</si>
  <si>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</si>
  <si>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</si>
  <si>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</si>
  <si>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</si>
  <si>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</si>
  <si>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</si>
  <si>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ПРОЧИЕ НЕНАЛОГОВЫЕ ДОХОДЫ</t>
  </si>
  <si>
    <t>Прочие неналоговые доходы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</si>
  <si>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</si>
  <si>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</si>
  <si>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</si>
  <si>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</si>
  <si>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</si>
  <si>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</si>
  <si>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</si>
  <si>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</si>
  <si>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</si>
  <si>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</si>
  <si>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</si>
  <si>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</si>
  <si>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903</t>
  </si>
  <si>
    <t>902</t>
  </si>
  <si>
    <t>Прочие субсидии</t>
  </si>
  <si>
    <t>Прочие субсидии бюджетам городских округов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</si>
  <si>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</si>
  <si>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</si>
  <si>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</si>
  <si>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</si>
  <si>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</si>
  <si>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</si>
  <si>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</si>
  <si>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</si>
  <si>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</si>
  <si>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</si>
  <si>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Прочие субвенции бюджетам городских округов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</si>
  <si>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</si>
  <si>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</si>
  <si>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</si>
  <si>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</si>
  <si>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</si>
  <si>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</si>
  <si>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</si>
  <si>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</si>
  <si>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</si>
  <si>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</si>
  <si>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</si>
  <si>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</si>
  <si>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</si>
  <si>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</si>
  <si>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1 08 07150 01 1000 110</t>
  </si>
  <si>
    <t>1 11 05012 04 1000 120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</si>
  <si>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</si>
  <si>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</si>
  <si>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</si>
  <si>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</si>
  <si>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</si>
  <si>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</si>
  <si>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</si>
  <si>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</si>
  <si>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</si>
  <si>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 xml:space="preserve">                                  А.П. Чихирьков</t>
  </si>
  <si>
    <t>1 03 02241 01 0000 110</t>
  </si>
  <si>
    <t>1 03 02251 01 0000 110</t>
  </si>
  <si>
    <t>1 03 02261 01 0000 110</t>
  </si>
  <si>
    <t>1 05 03010 01 0000 110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</si>
  <si>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</si>
  <si>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</si>
  <si>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1 01 02130 01 0000 110</t>
  </si>
  <si>
    <t xml:space="preserve"> 1 01 02140 01 0000 110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</si>
  <si>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</si>
  <si>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</si>
  <si>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</si>
  <si>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</si>
  <si>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</si>
  <si>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</si>
  <si>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</si>
  <si>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</si>
  <si>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</si>
  <si>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</si>
  <si>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</si>
  <si>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</si>
  <si>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</si>
  <si>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</si>
  <si>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</si>
  <si>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</si>
  <si>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</si>
  <si>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</si>
  <si>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</si>
  <si>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</si>
  <si>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</si>
  <si>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</si>
  <si>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</si>
  <si>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</si>
  <si>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2025 год</t>
  </si>
  <si>
    <t>2026 год</t>
  </si>
  <si>
    <t>Налог, взимаемый в связи с применением упрощенной системы налогообложения</t>
  </si>
  <si>
    <t xml:space="preserve">Единый сельскохозяйственный налог 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</si>
  <si>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</si>
  <si>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</si>
  <si>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</si>
  <si>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</si>
  <si>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</si>
  <si>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дому)</t>
  </si>
  <si>
    <t xml:space="preserve">Государственная пошлина за выдачу разрешения на установку рекламной конструкции (сумма платежа) </t>
  </si>
  <si>
    <t>906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</si>
  <si>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</si>
  <si>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</si>
  <si>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</si>
  <si>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организациях)</t>
  </si>
  <si>
    <t>1 16 01110 01 0000 140</t>
  </si>
  <si>
    <t xml:space="preserve"> 1 16 01100 01 0000 140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</si>
  <si>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</si>
  <si>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2027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</si>
  <si>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</si>
  <si>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</si>
  <si>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</si>
  <si>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</si>
  <si>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1 11 05312 04 0000 120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</si>
  <si>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</si>
  <si>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Прогнозируемые доходы бюджета города на 2025 год и плановый период 2026 и 2027 годов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</si>
  <si>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</si>
  <si>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</si>
  <si>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
 (штрафы за пользование денежными средствами)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</si>
  <si>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
 (неосновательное обогащение)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</si>
  <si>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</si>
  <si>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Единая субвенция местным бюджетам из бюджета субъекта Российской Федерации</t>
  </si>
  <si>
    <t>Единая субвенция бюджетам городских округов из бюджета субъекта Российской Федерации</t>
  </si>
  <si>
    <t>2 02 36900 04 0000 150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</si>
  <si>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</si>
  <si>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</si>
  <si>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</si>
  <si>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</si>
  <si>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</si>
  <si>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 xml:space="preserve">000 1 05 00000 00 0000 000 </t>
  </si>
  <si>
    <t>000 1 05 01000 00 0000 110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</si>
  <si>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</si>
  <si>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</si>
  <si>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</si>
  <si>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</si>
  <si>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</si>
  <si>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</si>
  <si>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</si>
  <si>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</si>
  <si>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</si>
  <si>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000 1 11 05000 00 0000 120</t>
  </si>
  <si>
    <t>000 1 11 05070 00 0000 120</t>
  </si>
  <si>
    <t>000 1 11 05300 00 0000 120</t>
  </si>
  <si>
    <t>000 1 11 05400 00 0000 120</t>
  </si>
  <si>
    <t>000 1 11 09000 00 0000 120</t>
  </si>
  <si>
    <t>000 1 11 09040 00 0000 120</t>
  </si>
  <si>
    <t>000 1 11 09080 00 0000 120</t>
  </si>
  <si>
    <t>000 1 12 00000 00 0000 000</t>
  </si>
  <si>
    <t>000 1 12 01000 01 0000 120</t>
  </si>
  <si>
    <t>000 1 12 04000 00 0000 120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</si>
  <si>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</si>
  <si>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</si>
  <si>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</si>
  <si>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</si>
  <si>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</si>
  <si>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000 1 14 06000 00 0000 430</t>
  </si>
  <si>
    <t xml:space="preserve">000 1 16 00000 00 0000 000 </t>
  </si>
  <si>
    <t>000 1 16 01000 01 0000 140</t>
  </si>
  <si>
    <t>000 1 16 02000 02 0000 140</t>
  </si>
  <si>
    <t>000 1 16 07000 00 0000 140</t>
  </si>
  <si>
    <t>000 1 16 10000 00 0000 140</t>
  </si>
  <si>
    <t>000 1 16 18000 02 0000 140</t>
  </si>
  <si>
    <t>000 1 17 00000 00 0000 000</t>
  </si>
  <si>
    <t>000 1 17 05000 00 0000 180</t>
  </si>
  <si>
    <t>000 2 00 00000 00 0000 000</t>
  </si>
  <si>
    <t>000 2 02 00000 00 0000 000</t>
  </si>
  <si>
    <t>000 2 02 10000 00 0000 150</t>
  </si>
  <si>
    <t>000 2 02 15001 00 0000 150</t>
  </si>
  <si>
    <t>000 2 02 20000 00 0000 150</t>
  </si>
  <si>
    <t>000 2 02 29999 00 0000 150</t>
  </si>
  <si>
    <t>000 2 02 29999 04 0000 150</t>
  </si>
  <si>
    <t>000 2 02 30000 00 0000 150</t>
  </si>
  <si>
    <t>000 2 02 30024 00 0000 150</t>
  </si>
  <si>
    <t>000 2 02 35120 00 0000 150</t>
  </si>
  <si>
    <t>000 2 02 36900 00 0000 150</t>
  </si>
  <si>
    <t>000 2 02 39999 00 0000 150</t>
  </si>
  <si>
    <t>000 2 02 30024 04 0000 150</t>
  </si>
  <si>
    <t>000 2 02 39999 04 0000 150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</si>
  <si>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участков(сумма платежа)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</si>
  <si>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</si>
  <si>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</si>
  <si>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</si>
  <si>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2 02 25116 04 0000 150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</si>
  <si>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</si>
  <si>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</si>
  <si>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</si>
  <si>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</si>
  <si>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</si>
  <si>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2 02 25466 04 0000 150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</si>
  <si>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</si>
  <si>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</si>
  <si>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</si>
  <si>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</si>
  <si>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</si>
  <si>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</si>
  <si>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 (плата за размещение нестационарных торговых объектов) (сумма платежа)</t>
  </si>
  <si>
    <t>Плата за выбросы загрязняющих веществ в атмосферный воздух стационарными объектами</t>
  </si>
  <si>
    <t>000 2 02 15002 00 0000 150</t>
  </si>
  <si>
    <t>000 2 02 25116 00 0000 150</t>
  </si>
  <si>
    <t>000 2 02 25304 00 0000 150</t>
  </si>
  <si>
    <t>000 2 02 25466 00 0000 150</t>
  </si>
  <si>
    <t>000 2 02 25519 00 0000 150</t>
  </si>
  <si>
    <t>000 2 02 25750 00 0000 150</t>
  </si>
  <si>
    <t xml:space="preserve">000 1 11 05010 00 0000 120 </t>
  </si>
  <si>
    <t xml:space="preserve">000 1 11 05020 00 0000 120 </t>
  </si>
  <si>
    <t>Субсидии бюджетам на реализацию программы комплексного развития молодежной политики в субъектах Российской Федерации "Регион для молодых"</t>
  </si>
  <si>
    <t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</si>
  <si>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</si>
  <si>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</si>
  <si>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2 02 25424 04 0000 150</t>
  </si>
  <si>
    <t>Иные межбюджетные трансферты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</si>
  <si>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</si>
  <si>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2 02 45050 04 0000 150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</si>
  <si>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</si>
  <si>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</si>
  <si>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</si>
  <si>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</si>
  <si>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</si>
  <si>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</si>
  <si>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</si>
  <si>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</si>
  <si>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</si>
  <si>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</si>
  <si>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 xml:space="preserve">Прочие субсидии бюджетам городских округов (субсидии местным бюджетам на финансовую поддержку реализации инициативных проектов) 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</si>
  <si>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</si>
  <si>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</si>
  <si>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2 02 25 497 04 0000 150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</si>
  <si>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</si>
  <si>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</si>
  <si>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</si>
  <si>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</si>
  <si>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</si>
  <si>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</si>
  <si>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</si>
  <si>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</si>
  <si>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</si>
  <si>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>Доходы бюджетов городских округов от возврата иными организациями остатков субсидий прошлых лет</t>
  </si>
  <si>
    <t xml:space="preserve"> 2 18 04030 04 0000 150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</si>
  <si>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</si>
  <si>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</si>
  <si>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</si>
  <si>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</si>
  <si>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</si>
  <si>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</si>
  <si>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</si>
  <si>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</si>
  <si>
    <t>2 19 35120 04 0000 150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</si>
  <si>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</si>
  <si>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</si>
  <si>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</si>
  <si>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</si>
  <si>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</si>
  <si>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</si>
  <si>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000 2 02 45303 00 0000 150</t>
  </si>
  <si>
    <t>000 2 02 45179 00 0000 150</t>
  </si>
  <si>
    <t>000 2 02 45050 00 0000 150</t>
  </si>
  <si>
    <t>000 2 02 40000 00 0000 150</t>
  </si>
  <si>
    <t>000 2 02 25 497 00 0000 150</t>
  </si>
  <si>
    <t>000 2 02 25555 00 0000 150</t>
  </si>
  <si>
    <t>000 2 02 25424 00 0000 150</t>
  </si>
  <si>
    <t xml:space="preserve"> 000 2 18 00000 00 0000 000</t>
  </si>
  <si>
    <t xml:space="preserve"> 000 2 18 00000 00 0000 150</t>
  </si>
  <si>
    <t>000 2 19 00000 00 0000 000</t>
  </si>
  <si>
    <t>Прочие межбюджетные трансферты, передаваемые бюджетам</t>
  </si>
  <si>
    <t>000 2 02 49999 00 0000 150</t>
  </si>
  <si>
    <t>2 02 49999 04 0000 150</t>
  </si>
  <si>
    <t>Прочие межбюджетные трансферты, передаваемые бюджетам городских округов (иные межбюджетные трансферты на оснащение предметных кабинетов муниципальных общеобразовательных организаций в Иркутской области оборудованием, средствами обучения и воспитания)</t>
  </si>
  <si>
    <t xml:space="preserve"> 2 02 29999 04 0000 150</t>
  </si>
  <si>
    <t>2 02 29999 04 0000 150</t>
  </si>
  <si>
    <t xml:space="preserve"> 2 02 30024 04 0000 150</t>
  </si>
  <si>
    <t>2 02 39999 04 0041 150</t>
  </si>
  <si>
    <t>2 02 39999 04 0000 150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</si>
  <si>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</si>
  <si>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</si>
  <si>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908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</si>
  <si>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</si>
  <si>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</si>
  <si>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1 16 07010 00 0000 140</t>
  </si>
  <si>
    <t>1 16 07010 04 0000 140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</si>
  <si>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</si>
  <si>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</si>
  <si>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</si>
  <si>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1 16 10032 04 0000 140</t>
  </si>
  <si>
    <t xml:space="preserve"> 1 16 10031 04 0000 140</t>
  </si>
  <si>
    <t xml:space="preserve"> 1 16 10030 04 0000 140</t>
  </si>
  <si>
    <t>Туристический налог</t>
  </si>
  <si>
    <t xml:space="preserve"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 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</si>
  <si>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</si>
  <si>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обеспечение бесплатным питьевым молоком обучающихся 1–4 классов муниципальных общеобразовательных организаций в Иркутской области)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</si>
  <si>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</si>
  <si>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</si>
  <si>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</si>
  <si>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Прочие субсидии бюджетам городских округов (субсидии местным бюджетам на создание мест (площадок) накопления твердых коммунальных отходов) </t>
  </si>
  <si>
    <t>Прочие субсидии бюджетам городских округов (Субсидии местным бюджетам в целях реализации мероприятий по обеспечению безопасности дорожного движения на автомобильных дорогах общего пользования местного значения)</t>
  </si>
  <si>
    <t>ПРОЧИЕ БЕЗВОЗМЕЗДНЫЕ ПОСТУПЛЕНИЯ</t>
  </si>
  <si>
    <t>Прочие безвозмездные поступления в бюджеты городских округов</t>
  </si>
  <si>
    <t>2 07 04000 04 0000 150</t>
  </si>
  <si>
    <t>2 07 04050 04 0000 150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</si>
  <si>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</si>
  <si>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</si>
  <si>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1 11 05324 04 0000 120</t>
  </si>
  <si>
    <t>1 11 05320 00 0000 120</t>
  </si>
  <si>
    <t>1 11 05012 04 2100 120</t>
  </si>
  <si>
    <t>1 11 05012 04 3000 120</t>
  </si>
  <si>
    <t>1 11 05024 04 2100 120</t>
  </si>
  <si>
    <t>1 11 05024 04 3000 120</t>
  </si>
  <si>
    <t>1 11 05074 04 2100 120</t>
  </si>
  <si>
    <t>1 11 09080 04 2130 120</t>
  </si>
  <si>
    <t>1 11 09080 04 3030 120</t>
  </si>
  <si>
    <t>1 11 09080 04 2131 120</t>
  </si>
  <si>
    <t>1 11 09080 04 2132 120</t>
  </si>
  <si>
    <t>1 12 04042 04 2100 120</t>
  </si>
  <si>
    <t>1 14 02043 04 2100 410</t>
  </si>
  <si>
    <t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города Усть-Илимска от 26.12.2024г. № 8/29,                                 в редакции решения Городской Думы города                           Усть-Илимска  от 00.09.2025 г. № 00/00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</si>
  <si>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(пени по соответствующему платежу)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</si>
  <si>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(пени по соответствующему платежу)</t>
  </si>
  <si>
    <t>Доходы от сдачи в аренду имущества, составляющего казну городских округов (за исключением земельных участков) (пени по соответствующему платежу)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</si>
  <si>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</si>
  <si>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</si>
  <si>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</si>
  <si>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</si>
  <si>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</si>
  <si>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</si>
  <si>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</si>
  <si>
    <t>1 01 02023 01 0000 110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</si>
  <si>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</si>
  <si>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1 01 02024 01 0000 110</t>
  </si>
  <si>
    <t xml:space="preserve">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</si>
  <si>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</si>
  <si>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 xml:space="preserve"> 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</si>
  <si>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</si>
  <si>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</si>
  <si>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</si>
  <si>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000 1 11 05030 00 0000 120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</si>
  <si>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</si>
  <si>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</si>
  <si>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</si>
  <si>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</si>
  <si>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</si>
  <si>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(пени по соответствующему платежу)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</si>
  <si>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(пени по соответствующему платежу)</t>
  </si>
  <si>
    <t>000 1 03 03000 01 0000 110</t>
  </si>
  <si>
    <t>1 16 10120 00 0000 140</t>
  </si>
  <si>
    <t>000 2 07 00000 00 0000 000</t>
  </si>
  <si>
    <t xml:space="preserve">                                        Э.В. Симонов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</si>
</sst>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#,##0.00;[Red]\-#,##0.00;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6" fillId="0" borderId="0"/>
    <xf numFmtId="0" fontId="12" fillId="0" borderId="0"/>
  </cellStyleXfs>
  <cellXfs count="143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3" fillId="2" borderId="0" xfId="0" applyNumberFormat="1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5" fillId="2" borderId="0" xfId="0" applyFont="1" applyFill="1" applyBorder="1"/>
    <xf numFmtId="0" fontId="15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/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/>
    </xf>
    <xf numFmtId="0" fontId="17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  <xf numFmtId="0" fontId="3" fillId="2" borderId="1" xfId="6" applyNumberFormat="1" applyFont="1" applyFill="1" applyBorder="1" applyAlignment="1" applyProtection="1">
      <alignment vertical="center" wrapText="1"/>
    </xf>
    <xf numFmtId="0" fontId="20" fillId="2" borderId="1" xfId="6" applyNumberFormat="1" applyFont="1" applyFill="1" applyBorder="1" applyAlignment="1" applyProtection="1">
      <alignment horizontal="left" vertical="center" wrapText="1"/>
    </xf>
    <xf numFmtId="49" fontId="20" fillId="2" borderId="1" xfId="7" applyNumberFormat="1" applyFont="1" applyFill="1" applyBorder="1" applyAlignment="1" applyProtection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21" fillId="2" borderId="0" xfId="0" applyFont="1" applyFill="1" applyBorder="1"/>
    <xf numFmtId="0" fontId="21" fillId="2" borderId="0" xfId="0" applyFont="1" applyFill="1" applyBorder="1" applyAlignment="1">
      <alignment horizontal="center"/>
    </xf>
    <xf numFmtId="0" fontId="21" fillId="2" borderId="0" xfId="0" applyFont="1" applyFill="1"/>
    <xf numFmtId="0" fontId="22" fillId="2" borderId="0" xfId="0" applyFont="1" applyFill="1" applyBorder="1"/>
    <xf numFmtId="0" fontId="23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4" fontId="3" fillId="2" borderId="0" xfId="0" applyNumberFormat="1" applyFont="1" applyFill="1" applyBorder="1" applyAlignment="1">
      <alignment horizontal="center"/>
    </xf>
    <xf numFmtId="0" fontId="19" fillId="2" borderId="1" xfId="3" applyNumberFormat="1" applyFont="1" applyFill="1" applyBorder="1" applyAlignment="1">
      <alignment horizontal="left" vertical="center" wrapText="1"/>
    </xf>
    <xf numFmtId="49" fontId="19" fillId="2" borderId="1" xfId="3" applyNumberFormat="1" applyFont="1" applyFill="1" applyBorder="1" applyAlignment="1">
      <alignment horizontal="center" vertical="center"/>
    </xf>
    <xf numFmtId="0" fontId="19" fillId="2" borderId="1" xfId="3" applyFont="1" applyFill="1" applyBorder="1" applyAlignment="1">
      <alignment horizontal="center" vertical="center"/>
    </xf>
    <xf numFmtId="4" fontId="19" fillId="2" borderId="1" xfId="1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19" fillId="2" borderId="1" xfId="3" applyNumberFormat="1" applyFont="1" applyFill="1" applyBorder="1" applyAlignment="1" applyProtection="1">
      <alignment horizontal="center" vertical="center"/>
      <protection locked="0"/>
    </xf>
    <xf numFmtId="49" fontId="19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2" borderId="1" xfId="2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9" fillId="2" borderId="1" xfId="0" applyNumberFormat="1" applyFont="1" applyFill="1" applyBorder="1" applyAlignment="1">
      <alignment horizontal="left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wrapText="1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3" fontId="4" fillId="2" borderId="1" xfId="3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168" fontId="3" fillId="2" borderId="1" xfId="4" applyNumberFormat="1" applyFont="1" applyFill="1" applyBorder="1" applyAlignment="1" applyProtection="1">
      <alignment horizontal="center" vertical="center"/>
      <protection hidden="1"/>
    </xf>
    <xf numFmtId="2" fontId="3" fillId="2" borderId="1" xfId="3" applyNumberFormat="1" applyFont="1" applyFill="1" applyBorder="1" applyAlignment="1">
      <alignment horizontal="center" vertical="center"/>
    </xf>
    <xf numFmtId="0" fontId="4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0" xfId="0" applyNumberFormat="1" applyFont="1" applyFill="1" applyAlignment="1">
      <alignment vertical="center" wrapText="1"/>
    </xf>
    <xf numFmtId="0" fontId="20" fillId="2" borderId="1" xfId="6" applyNumberFormat="1" applyFont="1" applyFill="1" applyBorder="1" applyAlignment="1" applyProtection="1">
      <alignment wrapText="1"/>
    </xf>
    <xf numFmtId="0" fontId="3" fillId="2" borderId="1" xfId="4" applyNumberFormat="1" applyFont="1" applyFill="1" applyBorder="1" applyAlignment="1" applyProtection="1">
      <alignment horizontal="center" vertic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4" applyFont="1" applyFill="1" applyAlignment="1" applyProtection="1">
      <alignment horizontal="left"/>
      <protection hidden="1"/>
    </xf>
    <xf numFmtId="0" fontId="7" fillId="2" borderId="0" xfId="14" applyFont="1" applyFill="1" applyAlignment="1" applyProtection="1">
      <alignment horizontal="center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4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4" fillId="2" borderId="1" xfId="3" applyNumberFormat="1" applyFont="1" applyFill="1" applyBorder="1" applyAlignment="1">
      <alignment horizontal="center" vertical="center" wrapText="1"/>
    </xf>
    <xf numFmtId="1" fontId="4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2" fontId="20" fillId="2" borderId="1" xfId="6" applyNumberFormat="1" applyFont="1" applyFill="1" applyBorder="1" applyAlignment="1" applyProtection="1">
      <alignment horizontal="left" vertical="center" wrapText="1"/>
    </xf>
    <xf numFmtId="2" fontId="20" fillId="2" borderId="1" xfId="7" applyNumberFormat="1" applyFont="1" applyFill="1" applyBorder="1" applyAlignment="1" applyProtection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4" fontId="21" fillId="2" borderId="0" xfId="0" applyNumberFormat="1" applyFont="1" applyFill="1" applyBorder="1"/>
    <xf numFmtId="4" fontId="21" fillId="2" borderId="0" xfId="0" applyNumberFormat="1" applyFont="1" applyFill="1" applyBorder="1" applyAlignment="1">
      <alignment horizontal="right" vertical="center"/>
    </xf>
    <xf numFmtId="0" fontId="20" fillId="2" borderId="1" xfId="7" applyNumberFormat="1" applyFont="1" applyFill="1" applyBorder="1" applyAlignment="1" applyProtection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</cellXfs>
  <cellStyles count="20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84"/>
  <sheetViews>
    <sheetView tabSelected="1" topLeftCell="A219" zoomScaleNormal="100" workbookViewId="0">
      <selection activeCell="D1" sqref="D1:F1"/>
    </sheetView>
  </sheetViews>
  <sheetFormatPr defaultColWidth="8.88671875" defaultRowHeight="13.8" x14ac:dyDescent="0.25"/>
  <cols>
    <col min="1" max="1" width="53.88671875" style="68" customWidth="1"/>
    <col min="2" max="2" width="8.6640625" style="42" hidden="1" customWidth="1"/>
    <col min="3" max="3" width="25.109375" style="41" customWidth="1"/>
    <col min="4" max="4" width="16" style="42" customWidth="1"/>
    <col min="5" max="5" width="14.5546875" style="42" customWidth="1"/>
    <col min="6" max="6" width="15.44140625" style="6" customWidth="1"/>
    <col min="7" max="7" width="10.88671875" style="6" customWidth="1"/>
    <col min="8" max="9" width="10" style="6" customWidth="1"/>
    <col min="10" max="10" width="8.88671875" style="6" customWidth="1"/>
    <col min="11" max="11" width="16.109375" style="6" customWidth="1"/>
    <col min="12" max="18" width="8.88671875" style="6" customWidth="1"/>
    <col min="19" max="19" width="0.33203125" style="6" customWidth="1"/>
    <col min="20" max="20" width="8.88671875" style="6" customWidth="1"/>
    <col min="21" max="21" width="0.33203125" style="6" customWidth="1"/>
    <col min="22" max="25" width="8.88671875" style="6" customWidth="1"/>
    <col min="26" max="33" width="8.88671875" style="42" customWidth="1"/>
    <col min="34" max="35" width="8.88671875" style="6" customWidth="1"/>
    <col min="36" max="36" width="0.33203125" style="6" customWidth="1"/>
    <col min="37" max="47" width="8.88671875" style="6" customWidth="1"/>
    <col min="48" max="48" width="0.44140625" style="6" customWidth="1"/>
    <col min="49" max="56" width="8.88671875" style="42" customWidth="1"/>
    <col min="57" max="57" width="19.33203125" style="42" customWidth="1"/>
    <col min="58" max="58" width="10" style="42" customWidth="1"/>
    <col min="59" max="63" width="8.88671875" style="42" customWidth="1"/>
    <col min="64" max="64" width="0.109375" style="6" customWidth="1"/>
    <col min="65" max="65" width="0.33203125" style="6" customWidth="1"/>
    <col min="66" max="66" width="35.6640625" style="42" customWidth="1"/>
    <col min="67" max="16384" width="8.88671875" style="42"/>
  </cols>
  <sheetData>
    <row r="1" spans="1:65" s="4" customFormat="1" ht="84.6" customHeight="1" x14ac:dyDescent="0.25">
      <c r="A1" s="63"/>
      <c r="B1" s="1"/>
      <c r="C1" s="2"/>
      <c r="D1" s="133" t="s">
        <v>480</v>
      </c>
      <c r="E1" s="133"/>
      <c r="F1" s="13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109"/>
      <c r="V1" s="3"/>
      <c r="W1" s="3"/>
      <c r="X1" s="3"/>
      <c r="Y1" s="3"/>
      <c r="AB1" s="5"/>
      <c r="AC1" s="5"/>
      <c r="AD1" s="5"/>
      <c r="AE1" s="5"/>
      <c r="AF1" s="5"/>
      <c r="AG1" s="5"/>
      <c r="AH1" s="3"/>
      <c r="AI1" s="3"/>
      <c r="AJ1" s="3"/>
      <c r="AK1" s="3"/>
      <c r="AL1" s="3"/>
      <c r="AM1" s="3"/>
      <c r="AN1" s="3"/>
      <c r="AO1" s="3"/>
      <c r="AP1" s="3"/>
      <c r="AQ1" s="6"/>
      <c r="AR1" s="6"/>
      <c r="AS1" s="3"/>
      <c r="AT1" s="3"/>
      <c r="AU1" s="3"/>
      <c r="AV1" s="3"/>
      <c r="BJ1" s="125"/>
      <c r="BK1" s="125"/>
      <c r="BL1" s="3"/>
      <c r="BM1" s="3"/>
    </row>
    <row r="2" spans="1:65" s="4" customFormat="1" ht="17.399999999999999" customHeight="1" x14ac:dyDescent="0.25">
      <c r="A2" s="113"/>
      <c r="B2" s="113"/>
      <c r="C2" s="113"/>
      <c r="D2" s="11"/>
      <c r="E2" s="113"/>
      <c r="F2" s="11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09"/>
      <c r="V2" s="3"/>
      <c r="W2" s="3"/>
      <c r="X2" s="3"/>
      <c r="Y2" s="3"/>
      <c r="AB2" s="5"/>
      <c r="AC2" s="5"/>
      <c r="AD2" s="5"/>
      <c r="AE2" s="5"/>
      <c r="AF2" s="5"/>
      <c r="AG2" s="5"/>
      <c r="AH2" s="3"/>
      <c r="AI2" s="3"/>
      <c r="AJ2" s="3"/>
      <c r="AK2" s="3"/>
      <c r="AL2" s="3"/>
      <c r="AM2" s="3"/>
      <c r="AN2" s="3"/>
      <c r="AO2" s="3"/>
      <c r="AP2" s="3"/>
      <c r="AQ2" s="6"/>
      <c r="AR2" s="6"/>
      <c r="AS2" s="3"/>
      <c r="AT2" s="3"/>
      <c r="AU2" s="3"/>
      <c r="AV2" s="3"/>
      <c r="BJ2" s="125"/>
      <c r="BK2" s="125"/>
      <c r="BL2" s="3"/>
      <c r="BM2" s="3"/>
    </row>
    <row r="3" spans="1:65" s="9" customFormat="1" ht="17.399999999999999" x14ac:dyDescent="0.3">
      <c r="A3" s="126" t="s">
        <v>282</v>
      </c>
      <c r="B3" s="126"/>
      <c r="C3" s="126"/>
      <c r="D3" s="126"/>
      <c r="E3" s="126"/>
      <c r="F3" s="126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8"/>
      <c r="V3" s="7"/>
      <c r="W3" s="7"/>
      <c r="X3" s="7"/>
      <c r="Y3" s="7"/>
      <c r="AB3" s="5"/>
      <c r="AC3" s="5"/>
      <c r="AD3" s="5"/>
      <c r="AE3" s="5"/>
      <c r="AF3" s="5"/>
      <c r="AG3" s="5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BL3" s="7"/>
      <c r="BM3" s="7"/>
    </row>
    <row r="4" spans="1:65" s="4" customFormat="1" ht="20.399999999999999" customHeight="1" x14ac:dyDescent="0.25">
      <c r="A4" s="64"/>
      <c r="B4" s="10"/>
      <c r="C4" s="10"/>
      <c r="D4" s="137"/>
      <c r="E4" s="137"/>
      <c r="F4" s="138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09"/>
      <c r="V4" s="3"/>
      <c r="W4" s="3"/>
      <c r="X4" s="3"/>
      <c r="Y4" s="3"/>
      <c r="AB4" s="5"/>
      <c r="AC4" s="5"/>
      <c r="AD4" s="5"/>
      <c r="AE4" s="5"/>
      <c r="AF4" s="5"/>
      <c r="AG4" s="5"/>
      <c r="AH4" s="3"/>
      <c r="AI4" s="3"/>
      <c r="AJ4" s="3"/>
      <c r="AK4" s="3"/>
      <c r="AL4" s="3"/>
      <c r="AM4" s="3"/>
      <c r="AN4" s="3"/>
      <c r="AO4" s="3"/>
      <c r="AP4" s="3"/>
      <c r="AQ4" s="6"/>
      <c r="AR4" s="6"/>
      <c r="AS4" s="3"/>
      <c r="AT4" s="3"/>
      <c r="AU4" s="3"/>
      <c r="AV4" s="3"/>
      <c r="AW4" s="12"/>
      <c r="BL4" s="3"/>
      <c r="BM4" s="3"/>
    </row>
    <row r="5" spans="1:65" s="4" customFormat="1" ht="41.4" customHeight="1" x14ac:dyDescent="0.25">
      <c r="A5" s="127" t="s">
        <v>0</v>
      </c>
      <c r="B5" s="128" t="s">
        <v>1</v>
      </c>
      <c r="C5" s="128"/>
      <c r="D5" s="129" t="s">
        <v>256</v>
      </c>
      <c r="E5" s="129" t="s">
        <v>257</v>
      </c>
      <c r="F5" s="129" t="s">
        <v>275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09"/>
      <c r="V5" s="3"/>
      <c r="W5" s="3"/>
      <c r="X5" s="3"/>
      <c r="Y5" s="3"/>
      <c r="AB5" s="5"/>
      <c r="AC5" s="5"/>
      <c r="AD5" s="5"/>
      <c r="AE5" s="5"/>
      <c r="AF5" s="5"/>
      <c r="AG5" s="5"/>
      <c r="AH5" s="3"/>
      <c r="AI5" s="3"/>
      <c r="AJ5" s="3"/>
      <c r="AK5" s="3"/>
      <c r="AL5" s="3"/>
      <c r="AM5" s="3"/>
      <c r="AN5" s="3"/>
      <c r="AO5" s="3"/>
      <c r="AP5" s="3"/>
      <c r="AQ5" s="6"/>
      <c r="AR5" s="6"/>
      <c r="AS5" s="3"/>
      <c r="AT5" s="3"/>
      <c r="AU5" s="3"/>
      <c r="AV5" s="3"/>
      <c r="BL5" s="3"/>
      <c r="BM5" s="3"/>
    </row>
    <row r="6" spans="1:65" s="4" customFormat="1" ht="61.2" customHeight="1" x14ac:dyDescent="0.25">
      <c r="A6" s="127"/>
      <c r="B6" s="99" t="s">
        <v>2</v>
      </c>
      <c r="C6" s="99" t="s">
        <v>3</v>
      </c>
      <c r="D6" s="129"/>
      <c r="E6" s="129"/>
      <c r="F6" s="129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9"/>
      <c r="V6" s="3"/>
      <c r="W6" s="3"/>
      <c r="X6" s="3"/>
      <c r="Y6" s="3"/>
      <c r="AB6" s="5"/>
      <c r="AC6" s="5"/>
      <c r="AD6" s="5"/>
      <c r="AE6" s="5"/>
      <c r="AF6" s="5"/>
      <c r="AG6" s="5"/>
      <c r="AH6" s="3"/>
      <c r="AI6" s="3"/>
      <c r="AJ6" s="3"/>
      <c r="AK6" s="3"/>
      <c r="AL6" s="3"/>
      <c r="AM6" s="3"/>
      <c r="AN6" s="3"/>
      <c r="AO6" s="3"/>
      <c r="AP6" s="3"/>
      <c r="AQ6" s="6"/>
      <c r="AR6" s="6"/>
      <c r="AS6" s="3"/>
      <c r="AT6" s="3"/>
      <c r="AU6" s="3"/>
      <c r="AV6" s="3"/>
      <c r="BL6" s="3"/>
      <c r="BM6" s="3"/>
    </row>
    <row r="7" spans="1:65" s="4" customFormat="1" ht="11.4" customHeight="1" x14ac:dyDescent="0.25">
      <c r="A7" s="107">
        <v>1</v>
      </c>
      <c r="B7" s="99"/>
      <c r="C7" s="99">
        <v>2</v>
      </c>
      <c r="D7" s="108">
        <v>3</v>
      </c>
      <c r="E7" s="108">
        <v>4</v>
      </c>
      <c r="F7" s="108">
        <v>5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09"/>
      <c r="V7" s="3"/>
      <c r="W7" s="3"/>
      <c r="X7" s="3"/>
      <c r="Y7" s="3"/>
      <c r="AB7" s="5"/>
      <c r="AC7" s="5"/>
      <c r="AD7" s="5"/>
      <c r="AE7" s="5"/>
      <c r="AF7" s="5"/>
      <c r="AG7" s="5"/>
      <c r="AH7" s="3"/>
      <c r="AI7" s="3"/>
      <c r="AJ7" s="3"/>
      <c r="AK7" s="3"/>
      <c r="AL7" s="3"/>
      <c r="AM7" s="3"/>
      <c r="AN7" s="3"/>
      <c r="AO7" s="3"/>
      <c r="AP7" s="3"/>
      <c r="AQ7" s="6"/>
      <c r="AR7" s="6"/>
      <c r="AS7" s="3"/>
      <c r="AT7" s="3"/>
      <c r="AU7" s="3"/>
      <c r="AV7" s="3"/>
      <c r="BL7" s="3"/>
      <c r="BM7" s="3"/>
    </row>
    <row r="8" spans="1:65" s="4" customFormat="1" ht="17.399999999999999" customHeight="1" x14ac:dyDescent="0.25">
      <c r="A8" s="58" t="s">
        <v>4</v>
      </c>
      <c r="B8" s="13" t="s">
        <v>5</v>
      </c>
      <c r="C8" s="51" t="s">
        <v>291</v>
      </c>
      <c r="D8" s="45">
        <f>+D9+D25+D36+D46+D54+D60+D106+D116+D133+D143+D193</f>
        <v>1441044925.7599998</v>
      </c>
      <c r="E8" s="45">
        <f>+E9+E25+E36+E46+E54+E60+E106+E116+E133+E143+E193</f>
        <v>1452684982.26</v>
      </c>
      <c r="F8" s="45">
        <f>+F9+F25+F36+F46+F54+F60+F106+F116+F133+F143+F193</f>
        <v>1537050790.54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0"/>
      <c r="T8" s="130"/>
      <c r="U8" s="130"/>
      <c r="V8" s="3"/>
      <c r="W8" s="3"/>
      <c r="X8" s="3"/>
      <c r="Y8" s="3"/>
      <c r="AB8" s="5"/>
      <c r="AC8" s="5"/>
      <c r="AD8" s="5"/>
      <c r="AE8" s="5"/>
      <c r="AF8" s="5"/>
      <c r="AG8" s="5"/>
      <c r="AH8" s="3"/>
      <c r="AI8" s="3"/>
      <c r="AJ8" s="3"/>
      <c r="AK8" s="3"/>
      <c r="AL8" s="3"/>
      <c r="AM8" s="3"/>
      <c r="AN8" s="3"/>
      <c r="AO8" s="3"/>
      <c r="AP8" s="3"/>
      <c r="AQ8" s="6"/>
      <c r="AR8" s="6"/>
      <c r="AS8" s="3"/>
      <c r="AT8" s="3"/>
      <c r="AU8" s="3"/>
      <c r="AV8" s="3"/>
      <c r="BL8" s="3"/>
      <c r="BM8" s="3"/>
    </row>
    <row r="9" spans="1:65" s="17" customFormat="1" ht="16.95" customHeight="1" x14ac:dyDescent="0.25">
      <c r="A9" s="58" t="s">
        <v>6</v>
      </c>
      <c r="B9" s="13" t="s">
        <v>5</v>
      </c>
      <c r="C9" s="14" t="s">
        <v>292</v>
      </c>
      <c r="D9" s="45">
        <f>+D10</f>
        <v>828105508</v>
      </c>
      <c r="E9" s="45">
        <f t="shared" ref="E9:F9" si="0">+E10</f>
        <v>889410963</v>
      </c>
      <c r="F9" s="45">
        <f t="shared" si="0"/>
        <v>960962972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  <c r="T9" s="16"/>
      <c r="U9" s="16"/>
      <c r="V9" s="6"/>
      <c r="W9" s="6"/>
      <c r="X9" s="15"/>
      <c r="Y9" s="15"/>
      <c r="AB9" s="18"/>
      <c r="AC9" s="18"/>
      <c r="AD9" s="18"/>
      <c r="AE9" s="18"/>
      <c r="AF9" s="18"/>
      <c r="AG9" s="18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BL9" s="15"/>
      <c r="BM9" s="15"/>
    </row>
    <row r="10" spans="1:65" s="20" customFormat="1" ht="16.95" customHeight="1" x14ac:dyDescent="0.25">
      <c r="A10" s="58" t="s">
        <v>7</v>
      </c>
      <c r="B10" s="13" t="s">
        <v>5</v>
      </c>
      <c r="C10" s="14" t="s">
        <v>293</v>
      </c>
      <c r="D10" s="45">
        <f>+D11+D12+D13+D14+D15+D16+D17+D18+D19+D20+D21+D22+D23+D24</f>
        <v>828105508</v>
      </c>
      <c r="E10" s="45">
        <f>+E11+E12+E13+E14+E15+E16+E17+E18+E19+E20+E21+E22+E23+E24</f>
        <v>889410963</v>
      </c>
      <c r="F10" s="45">
        <f>+F11+F12+F13+F14+F15+F16+F17+F18+F19+F20+F21+F22+F23+F24</f>
        <v>960962972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30"/>
      <c r="T10" s="130"/>
      <c r="U10" s="130"/>
      <c r="V10" s="3"/>
      <c r="W10" s="3"/>
      <c r="X10" s="19"/>
      <c r="Y10" s="19"/>
      <c r="AB10" s="18"/>
      <c r="AC10" s="18"/>
      <c r="AD10" s="18"/>
      <c r="AE10" s="18"/>
      <c r="AF10" s="18"/>
      <c r="AG10" s="18"/>
      <c r="AH10" s="19"/>
      <c r="AI10" s="19"/>
      <c r="AJ10" s="19"/>
      <c r="AK10" s="19"/>
      <c r="AL10" s="80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BL10" s="19"/>
      <c r="BM10" s="19"/>
    </row>
    <row r="11" spans="1:65" s="4" customFormat="1" ht="187.2" hidden="1" customHeight="1" x14ac:dyDescent="0.25">
      <c r="A11" s="81" t="s">
        <v>414</v>
      </c>
      <c r="B11" s="52" t="s">
        <v>8</v>
      </c>
      <c r="C11" s="52" t="s">
        <v>9</v>
      </c>
      <c r="D11" s="45">
        <f>741611430-332705922</f>
        <v>408905508</v>
      </c>
      <c r="E11" s="45">
        <f>799457122-355946159</f>
        <v>443510963</v>
      </c>
      <c r="F11" s="45">
        <f>799457122-311844150</f>
        <v>487612972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1"/>
      <c r="T11" s="21"/>
      <c r="U11" s="82"/>
      <c r="V11" s="3"/>
      <c r="W11" s="3"/>
      <c r="X11" s="3"/>
      <c r="Y11" s="3"/>
      <c r="AB11" s="5"/>
      <c r="AC11" s="5"/>
      <c r="AD11" s="5"/>
      <c r="AE11" s="5"/>
      <c r="AF11" s="5"/>
      <c r="AG11" s="5"/>
      <c r="AH11" s="3"/>
      <c r="AI11" s="3"/>
      <c r="AJ11" s="3"/>
      <c r="AK11" s="3"/>
      <c r="AL11" s="21"/>
      <c r="AM11" s="3"/>
      <c r="AN11" s="3"/>
      <c r="AO11" s="3"/>
      <c r="AP11" s="3"/>
      <c r="AQ11" s="6"/>
      <c r="AR11" s="6"/>
      <c r="AS11" s="3"/>
      <c r="AT11" s="3"/>
      <c r="AU11" s="3"/>
      <c r="AV11" s="3"/>
      <c r="BL11" s="3"/>
      <c r="BM11" s="3"/>
    </row>
    <row r="12" spans="1:65" s="4" customFormat="1" ht="147" hidden="1" customHeight="1" x14ac:dyDescent="0.25">
      <c r="A12" s="81" t="s">
        <v>415</v>
      </c>
      <c r="B12" s="52" t="s">
        <v>8</v>
      </c>
      <c r="C12" s="52" t="s">
        <v>10</v>
      </c>
      <c r="D12" s="45">
        <v>7500000</v>
      </c>
      <c r="E12" s="45">
        <v>8000000</v>
      </c>
      <c r="F12" s="45">
        <v>8500000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09"/>
      <c r="V12" s="3"/>
      <c r="W12" s="3"/>
      <c r="X12" s="3"/>
      <c r="Y12" s="3"/>
      <c r="AB12" s="5"/>
      <c r="AC12" s="5"/>
      <c r="AD12" s="5"/>
      <c r="AE12" s="5"/>
      <c r="AF12" s="5"/>
      <c r="AG12" s="5"/>
      <c r="AH12" s="3"/>
      <c r="AI12" s="3"/>
      <c r="AJ12" s="3"/>
      <c r="AK12" s="3"/>
      <c r="AL12" s="21"/>
      <c r="AM12" s="3"/>
      <c r="AN12" s="3"/>
      <c r="AO12" s="3"/>
      <c r="AP12" s="3"/>
      <c r="AQ12" s="6"/>
      <c r="AR12" s="6"/>
      <c r="AS12" s="3"/>
      <c r="AT12" s="3"/>
      <c r="AU12" s="3"/>
      <c r="AV12" s="3"/>
      <c r="BL12" s="3"/>
      <c r="BM12" s="3"/>
    </row>
    <row r="13" spans="1:65" s="4" customFormat="1" ht="139.80000000000001" hidden="1" customHeight="1" x14ac:dyDescent="0.25">
      <c r="A13" s="81" t="s">
        <v>486</v>
      </c>
      <c r="B13" s="52" t="s">
        <v>8</v>
      </c>
      <c r="C13" s="52" t="s">
        <v>487</v>
      </c>
      <c r="D13" s="45">
        <v>1500000</v>
      </c>
      <c r="E13" s="45">
        <v>1600000</v>
      </c>
      <c r="F13" s="45">
        <v>1700000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109"/>
      <c r="V13" s="3"/>
      <c r="W13" s="3"/>
      <c r="X13" s="3"/>
      <c r="Y13" s="3"/>
      <c r="AB13" s="5"/>
      <c r="AC13" s="5"/>
      <c r="AD13" s="5"/>
      <c r="AE13" s="5"/>
      <c r="AF13" s="5"/>
      <c r="AG13" s="5"/>
      <c r="AH13" s="3"/>
      <c r="AI13" s="3"/>
      <c r="AJ13" s="3"/>
      <c r="AK13" s="3"/>
      <c r="AL13" s="21"/>
      <c r="AM13" s="3"/>
      <c r="AN13" s="3"/>
      <c r="AO13" s="3"/>
      <c r="AP13" s="3"/>
      <c r="AQ13" s="6"/>
      <c r="AR13" s="6"/>
      <c r="AS13" s="3"/>
      <c r="AT13" s="3"/>
      <c r="AU13" s="3"/>
      <c r="AV13" s="3"/>
      <c r="BL13" s="3"/>
      <c r="BM13" s="3"/>
    </row>
    <row r="14" spans="1:65" s="4" customFormat="1" ht="133.19999999999999" hidden="1" customHeight="1" x14ac:dyDescent="0.25">
      <c r="A14" s="81" t="s">
        <v>488</v>
      </c>
      <c r="B14" s="52" t="s">
        <v>8</v>
      </c>
      <c r="C14" s="52" t="s">
        <v>489</v>
      </c>
      <c r="D14" s="45">
        <v>3700000</v>
      </c>
      <c r="E14" s="45">
        <v>3800000</v>
      </c>
      <c r="F14" s="45">
        <v>4000000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109"/>
      <c r="V14" s="3"/>
      <c r="W14" s="3"/>
      <c r="X14" s="3"/>
      <c r="Y14" s="3"/>
      <c r="AB14" s="5"/>
      <c r="AC14" s="5"/>
      <c r="AD14" s="5"/>
      <c r="AE14" s="5"/>
      <c r="AF14" s="5"/>
      <c r="AG14" s="5"/>
      <c r="AH14" s="3"/>
      <c r="AI14" s="3"/>
      <c r="AJ14" s="3"/>
      <c r="AK14" s="3"/>
      <c r="AL14" s="21"/>
      <c r="AM14" s="3"/>
      <c r="AN14" s="3"/>
      <c r="AO14" s="3"/>
      <c r="AP14" s="3"/>
      <c r="AQ14" s="6"/>
      <c r="AR14" s="6"/>
      <c r="AS14" s="3"/>
      <c r="AT14" s="3"/>
      <c r="AU14" s="3"/>
      <c r="AV14" s="3"/>
      <c r="BL14" s="3"/>
      <c r="BM14" s="3"/>
    </row>
    <row r="15" spans="1:65" s="4" customFormat="1" ht="135" hidden="1" customHeight="1" x14ac:dyDescent="0.25">
      <c r="A15" s="81" t="s">
        <v>490</v>
      </c>
      <c r="B15" s="52" t="s">
        <v>8</v>
      </c>
      <c r="C15" s="52" t="s">
        <v>491</v>
      </c>
      <c r="D15" s="45">
        <v>3500000</v>
      </c>
      <c r="E15" s="45">
        <v>3700000</v>
      </c>
      <c r="F15" s="45">
        <v>3900000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109"/>
      <c r="V15" s="3"/>
      <c r="W15" s="3"/>
      <c r="X15" s="3"/>
      <c r="Y15" s="3"/>
      <c r="AB15" s="5"/>
      <c r="AC15" s="5"/>
      <c r="AD15" s="5"/>
      <c r="AE15" s="5"/>
      <c r="AF15" s="5"/>
      <c r="AG15" s="5"/>
      <c r="AH15" s="3"/>
      <c r="AI15" s="3"/>
      <c r="AJ15" s="3"/>
      <c r="AK15" s="3"/>
      <c r="AL15" s="21"/>
      <c r="AM15" s="3"/>
      <c r="AN15" s="3"/>
      <c r="AO15" s="3"/>
      <c r="AP15" s="3"/>
      <c r="AQ15" s="6"/>
      <c r="AR15" s="6"/>
      <c r="AS15" s="3"/>
      <c r="AT15" s="3"/>
      <c r="AU15" s="3"/>
      <c r="AV15" s="3"/>
      <c r="BL15" s="3"/>
      <c r="BM15" s="3"/>
    </row>
    <row r="16" spans="1:65" s="4" customFormat="1" ht="126" hidden="1" customHeight="1" x14ac:dyDescent="0.25">
      <c r="A16" s="81" t="s">
        <v>492</v>
      </c>
      <c r="B16" s="52" t="s">
        <v>8</v>
      </c>
      <c r="C16" s="52" t="s">
        <v>493</v>
      </c>
      <c r="D16" s="45">
        <v>10500000</v>
      </c>
      <c r="E16" s="45">
        <v>11000000</v>
      </c>
      <c r="F16" s="45">
        <v>11500000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109"/>
      <c r="V16" s="3"/>
      <c r="W16" s="3"/>
      <c r="X16" s="3"/>
      <c r="Y16" s="3"/>
      <c r="AB16" s="5"/>
      <c r="AC16" s="5"/>
      <c r="AD16" s="5"/>
      <c r="AE16" s="5"/>
      <c r="AF16" s="5"/>
      <c r="AG16" s="5"/>
      <c r="AH16" s="3"/>
      <c r="AI16" s="3"/>
      <c r="AJ16" s="3"/>
      <c r="AK16" s="3"/>
      <c r="AL16" s="21"/>
      <c r="AM16" s="3"/>
      <c r="AN16" s="3"/>
      <c r="AO16" s="3"/>
      <c r="AP16" s="3"/>
      <c r="AQ16" s="6"/>
      <c r="AR16" s="6"/>
      <c r="AS16" s="3"/>
      <c r="AT16" s="3"/>
      <c r="AU16" s="3"/>
      <c r="AV16" s="3"/>
      <c r="BL16" s="3"/>
      <c r="BM16" s="3"/>
    </row>
    <row r="17" spans="1:65" s="4" customFormat="1" ht="124.2" hidden="1" customHeight="1" x14ac:dyDescent="0.25">
      <c r="A17" s="81" t="s">
        <v>416</v>
      </c>
      <c r="B17" s="52" t="s">
        <v>8</v>
      </c>
      <c r="C17" s="52" t="s">
        <v>11</v>
      </c>
      <c r="D17" s="45">
        <f>12120925-5520925</f>
        <v>6600000</v>
      </c>
      <c r="E17" s="45">
        <f>12605762-5605762</f>
        <v>7000000</v>
      </c>
      <c r="F17" s="45">
        <f>13109993-5609993</f>
        <v>7500000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109"/>
      <c r="V17" s="3"/>
      <c r="W17" s="3"/>
      <c r="X17" s="3"/>
      <c r="Y17" s="3"/>
      <c r="AB17" s="5"/>
      <c r="AC17" s="5"/>
      <c r="AD17" s="5"/>
      <c r="AE17" s="5"/>
      <c r="AF17" s="5"/>
      <c r="AG17" s="5"/>
      <c r="AH17" s="3"/>
      <c r="AI17" s="3"/>
      <c r="AJ17" s="3"/>
      <c r="AK17" s="3"/>
      <c r="AL17" s="21"/>
      <c r="AM17" s="3"/>
      <c r="AN17" s="3"/>
      <c r="AO17" s="3"/>
      <c r="AP17" s="3"/>
      <c r="AQ17" s="6"/>
      <c r="AR17" s="6"/>
      <c r="AS17" s="3"/>
      <c r="AT17" s="3"/>
      <c r="AU17" s="3"/>
      <c r="AV17" s="3"/>
      <c r="BL17" s="3"/>
      <c r="BM17" s="3"/>
    </row>
    <row r="18" spans="1:65" s="4" customFormat="1" ht="79.95" hidden="1" customHeight="1" x14ac:dyDescent="0.25">
      <c r="A18" s="81" t="s">
        <v>12</v>
      </c>
      <c r="B18" s="52" t="s">
        <v>8</v>
      </c>
      <c r="C18" s="52" t="s">
        <v>13</v>
      </c>
      <c r="D18" s="45">
        <f>2879250-1779250</f>
        <v>1100000</v>
      </c>
      <c r="E18" s="45">
        <f>2994420-1794420</f>
        <v>1200000</v>
      </c>
      <c r="F18" s="45">
        <f>3114197-1814197</f>
        <v>1300000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09"/>
      <c r="V18" s="3"/>
      <c r="W18" s="3"/>
      <c r="X18" s="3"/>
      <c r="Y18" s="3"/>
      <c r="AB18" s="5"/>
      <c r="AC18" s="5"/>
      <c r="AD18" s="5"/>
      <c r="AE18" s="5"/>
      <c r="AF18" s="5"/>
      <c r="AG18" s="5"/>
      <c r="AH18" s="3"/>
      <c r="AI18" s="3"/>
      <c r="AJ18" s="3"/>
      <c r="AK18" s="3"/>
      <c r="AL18" s="21"/>
      <c r="AM18" s="3"/>
      <c r="AN18" s="3"/>
      <c r="AO18" s="3"/>
      <c r="AP18" s="3"/>
      <c r="AQ18" s="6"/>
      <c r="AR18" s="6"/>
      <c r="AS18" s="3"/>
      <c r="AT18" s="3"/>
      <c r="AU18" s="3"/>
      <c r="AV18" s="3"/>
      <c r="BL18" s="3"/>
      <c r="BM18" s="3"/>
    </row>
    <row r="19" spans="1:65" s="4" customFormat="1" ht="385.95" hidden="1" customHeight="1" x14ac:dyDescent="0.25">
      <c r="A19" s="81" t="s">
        <v>417</v>
      </c>
      <c r="B19" s="52" t="s">
        <v>8</v>
      </c>
      <c r="C19" s="52" t="s">
        <v>211</v>
      </c>
      <c r="D19" s="45">
        <f>36160585-5560585</f>
        <v>30600000</v>
      </c>
      <c r="E19" s="45">
        <f>37607008-7607008</f>
        <v>30000000</v>
      </c>
      <c r="F19" s="45">
        <f>39111288-7311288</f>
        <v>31800000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09"/>
      <c r="V19" s="3"/>
      <c r="W19" s="3"/>
      <c r="X19" s="3"/>
      <c r="Y19" s="3"/>
      <c r="AB19" s="5"/>
      <c r="AC19" s="5"/>
      <c r="AD19" s="5"/>
      <c r="AE19" s="5"/>
      <c r="AF19" s="5"/>
      <c r="AG19" s="5"/>
      <c r="AH19" s="3"/>
      <c r="AI19" s="3"/>
      <c r="AJ19" s="3"/>
      <c r="AK19" s="3"/>
      <c r="AL19" s="21"/>
      <c r="AM19" s="3"/>
      <c r="AN19" s="3"/>
      <c r="AO19" s="3"/>
      <c r="AP19" s="3"/>
      <c r="AQ19" s="6"/>
      <c r="AR19" s="6"/>
      <c r="AS19" s="3"/>
      <c r="AT19" s="3"/>
      <c r="AU19" s="3"/>
      <c r="AV19" s="3"/>
      <c r="BL19" s="3"/>
      <c r="BM19" s="3"/>
    </row>
    <row r="20" spans="1:65" s="4" customFormat="1" ht="93.6" hidden="1" customHeight="1" x14ac:dyDescent="0.25">
      <c r="A20" s="101" t="s">
        <v>418</v>
      </c>
      <c r="B20" s="52" t="s">
        <v>8</v>
      </c>
      <c r="C20" s="54" t="s">
        <v>230</v>
      </c>
      <c r="D20" s="45">
        <f>8417880-3717880</f>
        <v>4700000</v>
      </c>
      <c r="E20" s="45">
        <f>8754595-3754595</f>
        <v>5000000</v>
      </c>
      <c r="F20" s="45">
        <f>9104779-3754779</f>
        <v>5350000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109"/>
      <c r="V20" s="3"/>
      <c r="W20" s="3"/>
      <c r="X20" s="3"/>
      <c r="Y20" s="3"/>
      <c r="AB20" s="5"/>
      <c r="AC20" s="5"/>
      <c r="AD20" s="5"/>
      <c r="AE20" s="5"/>
      <c r="AF20" s="5"/>
      <c r="AG20" s="5"/>
      <c r="AH20" s="3"/>
      <c r="AI20" s="3"/>
      <c r="AJ20" s="3"/>
      <c r="AK20" s="3"/>
      <c r="AL20" s="21"/>
      <c r="AM20" s="3"/>
      <c r="AN20" s="3"/>
      <c r="AO20" s="3"/>
      <c r="AP20" s="3"/>
      <c r="AQ20" s="6"/>
      <c r="AR20" s="6"/>
      <c r="AS20" s="3"/>
      <c r="AT20" s="3"/>
      <c r="AU20" s="3"/>
      <c r="AV20" s="3"/>
      <c r="BL20" s="3"/>
      <c r="BM20" s="3"/>
    </row>
    <row r="21" spans="1:65" s="4" customFormat="1" ht="97.2" hidden="1" customHeight="1" x14ac:dyDescent="0.25">
      <c r="A21" s="101" t="s">
        <v>419</v>
      </c>
      <c r="B21" s="52" t="s">
        <v>8</v>
      </c>
      <c r="C21" s="54" t="s">
        <v>231</v>
      </c>
      <c r="D21" s="45">
        <f>21266664-14866664</f>
        <v>6400000</v>
      </c>
      <c r="E21" s="45">
        <f>22117331-15317331</f>
        <v>6800000</v>
      </c>
      <c r="F21" s="45">
        <f>23002024-15702024</f>
        <v>7300000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109"/>
      <c r="V21" s="3"/>
      <c r="W21" s="3"/>
      <c r="X21" s="3"/>
      <c r="Y21" s="3"/>
      <c r="AB21" s="5"/>
      <c r="AC21" s="5"/>
      <c r="AD21" s="5"/>
      <c r="AE21" s="5"/>
      <c r="AF21" s="5"/>
      <c r="AG21" s="5"/>
      <c r="AH21" s="3"/>
      <c r="AI21" s="3"/>
      <c r="AJ21" s="3"/>
      <c r="AK21" s="3"/>
      <c r="AL21" s="21"/>
      <c r="AM21" s="3"/>
      <c r="AN21" s="3"/>
      <c r="AO21" s="3"/>
      <c r="AP21" s="3"/>
      <c r="AQ21" s="6"/>
      <c r="AR21" s="6"/>
      <c r="AS21" s="3"/>
      <c r="AT21" s="3"/>
      <c r="AU21" s="3"/>
      <c r="AV21" s="3"/>
      <c r="BL21" s="3"/>
      <c r="BM21" s="3"/>
    </row>
    <row r="22" spans="1:65" s="4" customFormat="1" ht="264" hidden="1" x14ac:dyDescent="0.25">
      <c r="A22" s="101" t="s">
        <v>495</v>
      </c>
      <c r="B22" s="52" t="s">
        <v>8</v>
      </c>
      <c r="C22" s="54" t="s">
        <v>494</v>
      </c>
      <c r="D22" s="45">
        <v>1300000</v>
      </c>
      <c r="E22" s="45">
        <v>1400000</v>
      </c>
      <c r="F22" s="45">
        <v>1500000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109"/>
      <c r="V22" s="3"/>
      <c r="W22" s="3"/>
      <c r="X22" s="3"/>
      <c r="Y22" s="3"/>
      <c r="AB22" s="5"/>
      <c r="AC22" s="5"/>
      <c r="AD22" s="5"/>
      <c r="AE22" s="5"/>
      <c r="AF22" s="5"/>
      <c r="AG22" s="5"/>
      <c r="AH22" s="3"/>
      <c r="AI22" s="3"/>
      <c r="AJ22" s="3"/>
      <c r="AK22" s="3"/>
      <c r="AL22" s="21"/>
      <c r="AM22" s="3"/>
      <c r="AN22" s="3"/>
      <c r="AO22" s="3"/>
      <c r="AP22" s="3"/>
      <c r="AQ22" s="6"/>
      <c r="AR22" s="6"/>
      <c r="AS22" s="3"/>
      <c r="AT22" s="3"/>
      <c r="AU22" s="3"/>
      <c r="AV22" s="3"/>
      <c r="BL22" s="3"/>
      <c r="BM22" s="3"/>
    </row>
    <row r="23" spans="1:65" s="4" customFormat="1" ht="264" hidden="1" x14ac:dyDescent="0.25">
      <c r="A23" s="101" t="s">
        <v>497</v>
      </c>
      <c r="B23" s="52" t="s">
        <v>8</v>
      </c>
      <c r="C23" s="54" t="s">
        <v>496</v>
      </c>
      <c r="D23" s="45">
        <v>1800000</v>
      </c>
      <c r="E23" s="45">
        <v>1900000</v>
      </c>
      <c r="F23" s="45">
        <v>2000000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109"/>
      <c r="V23" s="3"/>
      <c r="W23" s="3"/>
      <c r="X23" s="3"/>
      <c r="Y23" s="3"/>
      <c r="AB23" s="5"/>
      <c r="AC23" s="5"/>
      <c r="AD23" s="5"/>
      <c r="AE23" s="5"/>
      <c r="AF23" s="5"/>
      <c r="AG23" s="5"/>
      <c r="AH23" s="3"/>
      <c r="AI23" s="3"/>
      <c r="AJ23" s="3"/>
      <c r="AK23" s="3"/>
      <c r="AL23" s="21"/>
      <c r="AM23" s="3"/>
      <c r="AN23" s="3"/>
      <c r="AO23" s="3"/>
      <c r="AP23" s="3"/>
      <c r="AQ23" s="6"/>
      <c r="AR23" s="6"/>
      <c r="AS23" s="3"/>
      <c r="AT23" s="3"/>
      <c r="AU23" s="3"/>
      <c r="AV23" s="3"/>
      <c r="BL23" s="3"/>
      <c r="BM23" s="3"/>
    </row>
    <row r="24" spans="1:65" s="4" customFormat="1" ht="57.6" hidden="1" customHeight="1" x14ac:dyDescent="0.25">
      <c r="A24" s="101" t="s">
        <v>499</v>
      </c>
      <c r="B24" s="52" t="s">
        <v>8</v>
      </c>
      <c r="C24" s="54" t="s">
        <v>498</v>
      </c>
      <c r="D24" s="45">
        <v>340000000</v>
      </c>
      <c r="E24" s="45">
        <v>364500000</v>
      </c>
      <c r="F24" s="45">
        <v>387000000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09"/>
      <c r="V24" s="3"/>
      <c r="W24" s="3"/>
      <c r="X24" s="3"/>
      <c r="Y24" s="3"/>
      <c r="AB24" s="5"/>
      <c r="AC24" s="5"/>
      <c r="AD24" s="5"/>
      <c r="AE24" s="5"/>
      <c r="AF24" s="5"/>
      <c r="AG24" s="5"/>
      <c r="AH24" s="3"/>
      <c r="AI24" s="3"/>
      <c r="AJ24" s="3"/>
      <c r="AK24" s="3"/>
      <c r="AL24" s="21"/>
      <c r="AM24" s="3"/>
      <c r="AN24" s="3"/>
      <c r="AO24" s="3"/>
      <c r="AP24" s="3"/>
      <c r="AQ24" s="6"/>
      <c r="AR24" s="6"/>
      <c r="AS24" s="3"/>
      <c r="AT24" s="3"/>
      <c r="AU24" s="3"/>
      <c r="AV24" s="3"/>
      <c r="BL24" s="3"/>
      <c r="BM24" s="3"/>
    </row>
    <row r="25" spans="1:65" s="77" customFormat="1" ht="28.2" customHeight="1" x14ac:dyDescent="0.25">
      <c r="A25" s="81" t="s">
        <v>14</v>
      </c>
      <c r="B25" s="52" t="s">
        <v>5</v>
      </c>
      <c r="C25" s="52" t="s">
        <v>294</v>
      </c>
      <c r="D25" s="45">
        <f>+D26+D35</f>
        <v>23099147.279999997</v>
      </c>
      <c r="E25" s="45">
        <f>+E26</f>
        <v>22533920.300000001</v>
      </c>
      <c r="F25" s="45">
        <f t="shared" ref="F25" si="1">+F26</f>
        <v>30864958.669999998</v>
      </c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6"/>
      <c r="V25" s="75"/>
      <c r="W25" s="75"/>
      <c r="X25" s="75"/>
      <c r="Y25" s="75"/>
      <c r="AB25" s="78"/>
      <c r="AC25" s="78"/>
      <c r="AD25" s="78"/>
      <c r="AE25" s="78"/>
      <c r="AF25" s="78"/>
      <c r="AG25" s="78"/>
      <c r="AH25" s="75"/>
      <c r="AI25" s="75"/>
      <c r="AJ25" s="75"/>
      <c r="AK25" s="75"/>
      <c r="AL25" s="75"/>
      <c r="AM25" s="75"/>
      <c r="AN25" s="75"/>
      <c r="AO25" s="75"/>
      <c r="AP25" s="75"/>
      <c r="AQ25" s="38"/>
      <c r="AR25" s="38"/>
      <c r="AS25" s="75"/>
      <c r="AT25" s="75"/>
      <c r="AU25" s="75"/>
      <c r="AV25" s="75"/>
      <c r="BL25" s="75"/>
      <c r="BM25" s="75"/>
    </row>
    <row r="26" spans="1:65" s="77" customFormat="1" ht="28.95" customHeight="1" x14ac:dyDescent="0.25">
      <c r="A26" s="56" t="s">
        <v>15</v>
      </c>
      <c r="B26" s="52" t="s">
        <v>5</v>
      </c>
      <c r="C26" s="52" t="s">
        <v>295</v>
      </c>
      <c r="D26" s="45">
        <f>+D27+D29+D31+D33</f>
        <v>21657147.279999997</v>
      </c>
      <c r="E26" s="45">
        <f>+E27+E29+E31+E33</f>
        <v>22533920.300000001</v>
      </c>
      <c r="F26" s="45">
        <f t="shared" ref="F26" si="2">+F27+F29+F31+F33</f>
        <v>30864958.669999998</v>
      </c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6"/>
      <c r="V26" s="75"/>
      <c r="W26" s="75"/>
      <c r="X26" s="75"/>
      <c r="Y26" s="75"/>
      <c r="AB26" s="78"/>
      <c r="AC26" s="78"/>
      <c r="AD26" s="78"/>
      <c r="AE26" s="78"/>
      <c r="AF26" s="78"/>
      <c r="AG26" s="78"/>
      <c r="AH26" s="75"/>
      <c r="AI26" s="75"/>
      <c r="AJ26" s="75"/>
      <c r="AK26" s="75"/>
      <c r="AL26" s="131"/>
      <c r="AM26" s="75"/>
      <c r="AN26" s="75"/>
      <c r="AO26" s="75"/>
      <c r="AP26" s="75"/>
      <c r="AQ26" s="38"/>
      <c r="AR26" s="38"/>
      <c r="AS26" s="75"/>
      <c r="AT26" s="75"/>
      <c r="AU26" s="75"/>
      <c r="AV26" s="75"/>
      <c r="AW26" s="79"/>
      <c r="BL26" s="75"/>
      <c r="BM26" s="75"/>
    </row>
    <row r="27" spans="1:65" s="77" customFormat="1" ht="58.95" hidden="1" customHeight="1" x14ac:dyDescent="0.25">
      <c r="A27" s="56" t="s">
        <v>16</v>
      </c>
      <c r="B27" s="52" t="s">
        <v>5</v>
      </c>
      <c r="C27" s="52" t="s">
        <v>17</v>
      </c>
      <c r="D27" s="45">
        <f>+D28</f>
        <v>11327055.199999999</v>
      </c>
      <c r="E27" s="45">
        <f t="shared" ref="E27:F27" si="3">+E28</f>
        <v>11797212.390000001</v>
      </c>
      <c r="F27" s="45">
        <f t="shared" si="3"/>
        <v>16134395.609999999</v>
      </c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6"/>
      <c r="V27" s="75"/>
      <c r="W27" s="75"/>
      <c r="X27" s="75"/>
      <c r="Y27" s="75"/>
      <c r="AB27" s="78"/>
      <c r="AC27" s="78"/>
      <c r="AD27" s="78"/>
      <c r="AE27" s="78"/>
      <c r="AF27" s="78"/>
      <c r="AG27" s="78"/>
      <c r="AH27" s="75"/>
      <c r="AI27" s="75"/>
      <c r="AJ27" s="75"/>
      <c r="AK27" s="75"/>
      <c r="AL27" s="131"/>
      <c r="AM27" s="75"/>
      <c r="AN27" s="75"/>
      <c r="AO27" s="75"/>
      <c r="AP27" s="75"/>
      <c r="AQ27" s="38"/>
      <c r="AR27" s="38"/>
      <c r="AS27" s="75"/>
      <c r="AT27" s="75"/>
      <c r="AU27" s="75"/>
      <c r="AV27" s="75"/>
      <c r="BL27" s="75"/>
      <c r="BM27" s="75"/>
    </row>
    <row r="28" spans="1:65" s="77" customFormat="1" ht="94.95" hidden="1" customHeight="1" x14ac:dyDescent="0.25">
      <c r="A28" s="56" t="s">
        <v>18</v>
      </c>
      <c r="B28" s="87">
        <v>182</v>
      </c>
      <c r="C28" s="88" t="s">
        <v>19</v>
      </c>
      <c r="D28" s="46">
        <v>11327055.199999999</v>
      </c>
      <c r="E28" s="46">
        <v>11797212.390000001</v>
      </c>
      <c r="F28" s="46">
        <v>16134395.609999999</v>
      </c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6"/>
      <c r="V28" s="75"/>
      <c r="W28" s="75"/>
      <c r="X28" s="75"/>
      <c r="Y28" s="75"/>
      <c r="AB28" s="78"/>
      <c r="AC28" s="78"/>
      <c r="AD28" s="78"/>
      <c r="AE28" s="78"/>
      <c r="AF28" s="78"/>
      <c r="AG28" s="78"/>
      <c r="AH28" s="75"/>
      <c r="AI28" s="75"/>
      <c r="AJ28" s="75"/>
      <c r="AK28" s="75"/>
      <c r="AL28" s="131"/>
      <c r="AM28" s="75"/>
      <c r="AN28" s="75"/>
      <c r="AO28" s="75"/>
      <c r="AP28" s="75"/>
      <c r="AQ28" s="38"/>
      <c r="AR28" s="38"/>
      <c r="AS28" s="75"/>
      <c r="AT28" s="75"/>
      <c r="AU28" s="75"/>
      <c r="AV28" s="75"/>
      <c r="BL28" s="75"/>
      <c r="BM28" s="75"/>
    </row>
    <row r="29" spans="1:65" s="77" customFormat="1" ht="68.400000000000006" hidden="1" customHeight="1" x14ac:dyDescent="0.25">
      <c r="A29" s="56" t="s">
        <v>20</v>
      </c>
      <c r="B29" s="52" t="s">
        <v>5</v>
      </c>
      <c r="C29" s="52" t="s">
        <v>21</v>
      </c>
      <c r="D29" s="45">
        <f>+D30</f>
        <v>51040.34</v>
      </c>
      <c r="E29" s="45">
        <f>+E30</f>
        <v>54704.66</v>
      </c>
      <c r="F29" s="45">
        <f>+F30</f>
        <v>74766.7</v>
      </c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6"/>
      <c r="V29" s="75"/>
      <c r="W29" s="75"/>
      <c r="X29" s="75"/>
      <c r="Y29" s="75"/>
      <c r="AB29" s="78"/>
      <c r="AC29" s="78"/>
      <c r="AD29" s="78"/>
      <c r="AE29" s="78"/>
      <c r="AF29" s="78"/>
      <c r="AG29" s="78"/>
      <c r="AH29" s="75"/>
      <c r="AI29" s="75"/>
      <c r="AJ29" s="75"/>
      <c r="AK29" s="75"/>
      <c r="AL29" s="131"/>
      <c r="AM29" s="75"/>
      <c r="AN29" s="75"/>
      <c r="AO29" s="75"/>
      <c r="AP29" s="75"/>
      <c r="AQ29" s="38"/>
      <c r="AR29" s="38"/>
      <c r="AS29" s="75"/>
      <c r="AT29" s="75"/>
      <c r="AU29" s="75"/>
      <c r="AV29" s="75"/>
      <c r="BL29" s="75"/>
      <c r="BM29" s="75"/>
    </row>
    <row r="30" spans="1:65" s="77" customFormat="1" ht="106.2" hidden="1" customHeight="1" x14ac:dyDescent="0.25">
      <c r="A30" s="56" t="s">
        <v>22</v>
      </c>
      <c r="B30" s="52" t="s">
        <v>8</v>
      </c>
      <c r="C30" s="88" t="s">
        <v>224</v>
      </c>
      <c r="D30" s="46">
        <v>51040.34</v>
      </c>
      <c r="E30" s="46">
        <v>54704.66</v>
      </c>
      <c r="F30" s="46">
        <v>74766.7</v>
      </c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6"/>
      <c r="V30" s="75"/>
      <c r="W30" s="75"/>
      <c r="X30" s="75"/>
      <c r="Y30" s="75"/>
      <c r="AB30" s="78"/>
      <c r="AC30" s="78"/>
      <c r="AD30" s="78"/>
      <c r="AE30" s="78"/>
      <c r="AF30" s="78"/>
      <c r="AG30" s="78"/>
      <c r="AH30" s="75"/>
      <c r="AI30" s="75"/>
      <c r="AJ30" s="75"/>
      <c r="AK30" s="75"/>
      <c r="AL30" s="131"/>
      <c r="AM30" s="75"/>
      <c r="AN30" s="75"/>
      <c r="AO30" s="75"/>
      <c r="AP30" s="75"/>
      <c r="AQ30" s="38"/>
      <c r="AR30" s="38"/>
      <c r="AS30" s="75"/>
      <c r="AT30" s="75"/>
      <c r="AU30" s="75"/>
      <c r="AV30" s="75"/>
      <c r="BL30" s="75"/>
      <c r="BM30" s="75"/>
    </row>
    <row r="31" spans="1:65" s="77" customFormat="1" ht="58.95" hidden="1" customHeight="1" x14ac:dyDescent="0.25">
      <c r="A31" s="56" t="s">
        <v>23</v>
      </c>
      <c r="B31" s="52" t="s">
        <v>5</v>
      </c>
      <c r="C31" s="52" t="s">
        <v>24</v>
      </c>
      <c r="D31" s="45">
        <f>+D32</f>
        <v>11439233.939999999</v>
      </c>
      <c r="E31" s="45">
        <f>+E32</f>
        <v>11855472.140000001</v>
      </c>
      <c r="F31" s="45">
        <f>+F32</f>
        <v>16200893.140000001</v>
      </c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6"/>
      <c r="V31" s="75"/>
      <c r="W31" s="75"/>
      <c r="X31" s="75"/>
      <c r="Y31" s="75"/>
      <c r="AB31" s="78"/>
      <c r="AC31" s="78"/>
      <c r="AD31" s="78"/>
      <c r="AE31" s="78"/>
      <c r="AF31" s="78"/>
      <c r="AG31" s="78"/>
      <c r="AH31" s="75"/>
      <c r="AI31" s="75"/>
      <c r="AJ31" s="75"/>
      <c r="AK31" s="75"/>
      <c r="AL31" s="131"/>
      <c r="AM31" s="75"/>
      <c r="AN31" s="75"/>
      <c r="AO31" s="75"/>
      <c r="AP31" s="75"/>
      <c r="AQ31" s="38"/>
      <c r="AR31" s="38"/>
      <c r="AS31" s="75"/>
      <c r="AT31" s="75"/>
      <c r="AU31" s="75"/>
      <c r="AV31" s="75"/>
      <c r="BL31" s="75"/>
      <c r="BM31" s="75"/>
    </row>
    <row r="32" spans="1:65" s="77" customFormat="1" ht="97.95" hidden="1" customHeight="1" x14ac:dyDescent="0.25">
      <c r="A32" s="56" t="s">
        <v>25</v>
      </c>
      <c r="B32" s="89" t="s">
        <v>8</v>
      </c>
      <c r="C32" s="90" t="s">
        <v>225</v>
      </c>
      <c r="D32" s="91">
        <v>11439233.939999999</v>
      </c>
      <c r="E32" s="91">
        <v>11855472.140000001</v>
      </c>
      <c r="F32" s="91">
        <v>16200893.140000001</v>
      </c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6"/>
      <c r="V32" s="75"/>
      <c r="W32" s="75"/>
      <c r="X32" s="75"/>
      <c r="Y32" s="75"/>
      <c r="AB32" s="78"/>
      <c r="AC32" s="78"/>
      <c r="AD32" s="78"/>
      <c r="AE32" s="78"/>
      <c r="AF32" s="78"/>
      <c r="AG32" s="78"/>
      <c r="AH32" s="75"/>
      <c r="AI32" s="75"/>
      <c r="AJ32" s="75"/>
      <c r="AK32" s="75"/>
      <c r="AL32" s="131"/>
      <c r="AM32" s="75"/>
      <c r="AN32" s="75"/>
      <c r="AO32" s="75"/>
      <c r="AP32" s="75"/>
      <c r="AQ32" s="38"/>
      <c r="AR32" s="38"/>
      <c r="AS32" s="75"/>
      <c r="AT32" s="75"/>
      <c r="AU32" s="75"/>
      <c r="AV32" s="75"/>
      <c r="BL32" s="75"/>
      <c r="BM32" s="75"/>
    </row>
    <row r="33" spans="1:65" s="77" customFormat="1" ht="57.6" hidden="1" customHeight="1" x14ac:dyDescent="0.25">
      <c r="A33" s="56" t="s">
        <v>26</v>
      </c>
      <c r="B33" s="52" t="s">
        <v>5</v>
      </c>
      <c r="C33" s="52" t="s">
        <v>27</v>
      </c>
      <c r="D33" s="45">
        <f>+D34</f>
        <v>-1160182.2</v>
      </c>
      <c r="E33" s="45">
        <f>+E34</f>
        <v>-1173468.8899999999</v>
      </c>
      <c r="F33" s="45">
        <f>+F34</f>
        <v>-1545096.78</v>
      </c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6"/>
      <c r="V33" s="75"/>
      <c r="W33" s="75"/>
      <c r="X33" s="75"/>
      <c r="Y33" s="75"/>
      <c r="AB33" s="78"/>
      <c r="AC33" s="78"/>
      <c r="AD33" s="78"/>
      <c r="AE33" s="78"/>
      <c r="AF33" s="78"/>
      <c r="AG33" s="78"/>
      <c r="AH33" s="75"/>
      <c r="AI33" s="75"/>
      <c r="AJ33" s="75"/>
      <c r="AK33" s="75"/>
      <c r="AL33" s="131"/>
      <c r="AM33" s="75"/>
      <c r="AN33" s="75"/>
      <c r="AO33" s="75"/>
      <c r="AP33" s="75"/>
      <c r="AQ33" s="38"/>
      <c r="AR33" s="38"/>
      <c r="AS33" s="75"/>
      <c r="AT33" s="75"/>
      <c r="AU33" s="75"/>
      <c r="AV33" s="75"/>
      <c r="BL33" s="75"/>
      <c r="BM33" s="75"/>
    </row>
    <row r="34" spans="1:65" s="77" customFormat="1" ht="96.6" hidden="1" customHeight="1" x14ac:dyDescent="0.25">
      <c r="A34" s="56" t="s">
        <v>28</v>
      </c>
      <c r="B34" s="52" t="s">
        <v>8</v>
      </c>
      <c r="C34" s="88" t="s">
        <v>226</v>
      </c>
      <c r="D34" s="46">
        <v>-1160182.2</v>
      </c>
      <c r="E34" s="46">
        <v>-1173468.8899999999</v>
      </c>
      <c r="F34" s="46">
        <v>-1545096.78</v>
      </c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6"/>
      <c r="V34" s="75"/>
      <c r="W34" s="75"/>
      <c r="X34" s="75"/>
      <c r="Y34" s="75"/>
      <c r="AB34" s="78"/>
      <c r="AC34" s="78"/>
      <c r="AD34" s="78"/>
      <c r="AE34" s="78"/>
      <c r="AF34" s="78"/>
      <c r="AG34" s="78"/>
      <c r="AH34" s="75"/>
      <c r="AI34" s="75"/>
      <c r="AJ34" s="75"/>
      <c r="AK34" s="75"/>
      <c r="AL34" s="131"/>
      <c r="AM34" s="75"/>
      <c r="AN34" s="75"/>
      <c r="AO34" s="75"/>
      <c r="AP34" s="75"/>
      <c r="AQ34" s="38"/>
      <c r="AR34" s="38"/>
      <c r="AS34" s="75"/>
      <c r="AT34" s="75"/>
      <c r="AU34" s="75"/>
      <c r="AV34" s="75"/>
      <c r="BL34" s="75"/>
      <c r="BM34" s="75"/>
    </row>
    <row r="35" spans="1:65" s="77" customFormat="1" ht="16.2" customHeight="1" x14ac:dyDescent="0.25">
      <c r="A35" s="56" t="s">
        <v>452</v>
      </c>
      <c r="B35" s="52" t="s">
        <v>8</v>
      </c>
      <c r="C35" s="139" t="s">
        <v>508</v>
      </c>
      <c r="D35" s="46">
        <v>1442000</v>
      </c>
      <c r="E35" s="46">
        <v>0</v>
      </c>
      <c r="F35" s="46">
        <v>0</v>
      </c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6"/>
      <c r="V35" s="75"/>
      <c r="W35" s="75"/>
      <c r="X35" s="75"/>
      <c r="Y35" s="75"/>
      <c r="AB35" s="78"/>
      <c r="AC35" s="78"/>
      <c r="AD35" s="78"/>
      <c r="AE35" s="78"/>
      <c r="AF35" s="78"/>
      <c r="AG35" s="78"/>
      <c r="AH35" s="75"/>
      <c r="AI35" s="75"/>
      <c r="AJ35" s="75"/>
      <c r="AK35" s="75"/>
      <c r="AL35" s="110"/>
      <c r="AM35" s="75"/>
      <c r="AN35" s="75"/>
      <c r="AO35" s="75"/>
      <c r="AP35" s="75"/>
      <c r="AQ35" s="38"/>
      <c r="AR35" s="38"/>
      <c r="AS35" s="75"/>
      <c r="AT35" s="75"/>
      <c r="AU35" s="75"/>
      <c r="AV35" s="75"/>
      <c r="BL35" s="75"/>
      <c r="BM35" s="75"/>
    </row>
    <row r="36" spans="1:65" s="20" customFormat="1" ht="17.399999999999999" customHeight="1" x14ac:dyDescent="0.25">
      <c r="A36" s="58" t="s">
        <v>29</v>
      </c>
      <c r="B36" s="52" t="s">
        <v>5</v>
      </c>
      <c r="C36" s="14" t="s">
        <v>296</v>
      </c>
      <c r="D36" s="45">
        <f>+D37+D44+D42</f>
        <v>265222000</v>
      </c>
      <c r="E36" s="45">
        <f>+E37+E44+E42</f>
        <v>265508000</v>
      </c>
      <c r="F36" s="45">
        <f>+F37+F44+F42</f>
        <v>268009000</v>
      </c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3"/>
      <c r="T36" s="3"/>
      <c r="U36" s="109"/>
      <c r="V36" s="3"/>
      <c r="W36" s="3"/>
      <c r="X36" s="19"/>
      <c r="Y36" s="19"/>
      <c r="AB36" s="18"/>
      <c r="AC36" s="18"/>
      <c r="AD36" s="18"/>
      <c r="AE36" s="18"/>
      <c r="AF36" s="18"/>
      <c r="AG36" s="18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BL36" s="19"/>
      <c r="BM36" s="19"/>
    </row>
    <row r="37" spans="1:65" s="20" customFormat="1" ht="28.95" customHeight="1" x14ac:dyDescent="0.25">
      <c r="A37" s="56" t="s">
        <v>258</v>
      </c>
      <c r="B37" s="52" t="s">
        <v>5</v>
      </c>
      <c r="C37" s="22" t="s">
        <v>297</v>
      </c>
      <c r="D37" s="45">
        <f>+D38+D40</f>
        <v>235000000</v>
      </c>
      <c r="E37" s="45">
        <f t="shared" ref="E37:F37" si="4">+E38+E40</f>
        <v>237000000</v>
      </c>
      <c r="F37" s="45">
        <f t="shared" si="4"/>
        <v>239000000</v>
      </c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3"/>
      <c r="T37" s="3"/>
      <c r="U37" s="109"/>
      <c r="V37" s="3"/>
      <c r="W37" s="3"/>
      <c r="X37" s="19"/>
      <c r="Y37" s="19"/>
      <c r="AB37" s="18"/>
      <c r="AC37" s="18"/>
      <c r="AD37" s="18"/>
      <c r="AE37" s="18"/>
      <c r="AF37" s="18"/>
      <c r="AG37" s="18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BL37" s="19"/>
      <c r="BM37" s="19"/>
    </row>
    <row r="38" spans="1:65" s="20" customFormat="1" ht="31.2" hidden="1" customHeight="1" x14ac:dyDescent="0.25">
      <c r="A38" s="56" t="s">
        <v>30</v>
      </c>
      <c r="B38" s="52" t="s">
        <v>5</v>
      </c>
      <c r="C38" s="22" t="s">
        <v>31</v>
      </c>
      <c r="D38" s="45">
        <f>+D39</f>
        <v>151000000</v>
      </c>
      <c r="E38" s="45">
        <f>+E39</f>
        <v>152000000</v>
      </c>
      <c r="F38" s="45">
        <f>+F39</f>
        <v>153000000</v>
      </c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3"/>
      <c r="T38" s="3"/>
      <c r="U38" s="109"/>
      <c r="V38" s="3"/>
      <c r="W38" s="3"/>
      <c r="X38" s="19"/>
      <c r="Y38" s="19"/>
      <c r="AB38" s="18"/>
      <c r="AC38" s="18"/>
      <c r="AD38" s="18"/>
      <c r="AE38" s="18"/>
      <c r="AF38" s="18"/>
      <c r="AG38" s="18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BL38" s="19"/>
      <c r="BM38" s="19"/>
    </row>
    <row r="39" spans="1:65" s="20" customFormat="1" ht="30.6" hidden="1" customHeight="1" x14ac:dyDescent="0.25">
      <c r="A39" s="56" t="s">
        <v>30</v>
      </c>
      <c r="B39" s="52" t="s">
        <v>8</v>
      </c>
      <c r="C39" s="22" t="s">
        <v>32</v>
      </c>
      <c r="D39" s="45">
        <v>151000000</v>
      </c>
      <c r="E39" s="45">
        <v>152000000</v>
      </c>
      <c r="F39" s="45">
        <v>153000000</v>
      </c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109"/>
      <c r="V39" s="3"/>
      <c r="W39" s="3"/>
      <c r="X39" s="19"/>
      <c r="Y39" s="19"/>
      <c r="AB39" s="18"/>
      <c r="AC39" s="18"/>
      <c r="AD39" s="18"/>
      <c r="AE39" s="18"/>
      <c r="AF39" s="18"/>
      <c r="AG39" s="18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BL39" s="19"/>
      <c r="BM39" s="19"/>
    </row>
    <row r="40" spans="1:65" s="20" customFormat="1" ht="43.2" hidden="1" customHeight="1" x14ac:dyDescent="0.25">
      <c r="A40" s="56" t="s">
        <v>33</v>
      </c>
      <c r="B40" s="52" t="s">
        <v>5</v>
      </c>
      <c r="C40" s="22" t="s">
        <v>34</v>
      </c>
      <c r="D40" s="45">
        <f>+D41</f>
        <v>84000000</v>
      </c>
      <c r="E40" s="45">
        <f>+E41</f>
        <v>85000000</v>
      </c>
      <c r="F40" s="45">
        <f>+F41</f>
        <v>86000000</v>
      </c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3"/>
      <c r="T40" s="3"/>
      <c r="U40" s="109"/>
      <c r="V40" s="3"/>
      <c r="W40" s="3"/>
      <c r="X40" s="19"/>
      <c r="Y40" s="19"/>
      <c r="AB40" s="18"/>
      <c r="AC40" s="18"/>
      <c r="AD40" s="18"/>
      <c r="AE40" s="18"/>
      <c r="AF40" s="18"/>
      <c r="AG40" s="18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BL40" s="19"/>
      <c r="BM40" s="19"/>
    </row>
    <row r="41" spans="1:65" s="20" customFormat="1" ht="58.95" hidden="1" customHeight="1" x14ac:dyDescent="0.25">
      <c r="A41" s="56" t="s">
        <v>35</v>
      </c>
      <c r="B41" s="52" t="s">
        <v>8</v>
      </c>
      <c r="C41" s="22" t="s">
        <v>36</v>
      </c>
      <c r="D41" s="45">
        <v>84000000</v>
      </c>
      <c r="E41" s="45">
        <v>85000000</v>
      </c>
      <c r="F41" s="45">
        <v>86000000</v>
      </c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3"/>
      <c r="T41" s="3"/>
      <c r="U41" s="109"/>
      <c r="V41" s="3"/>
      <c r="W41" s="3"/>
      <c r="X41" s="19"/>
      <c r="Y41" s="19"/>
      <c r="AB41" s="18"/>
      <c r="AC41" s="18"/>
      <c r="AD41" s="18"/>
      <c r="AE41" s="18"/>
      <c r="AF41" s="18"/>
      <c r="AG41" s="18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BL41" s="19"/>
      <c r="BM41" s="19"/>
    </row>
    <row r="42" spans="1:65" s="20" customFormat="1" ht="16.2" customHeight="1" x14ac:dyDescent="0.25">
      <c r="A42" s="56" t="s">
        <v>259</v>
      </c>
      <c r="B42" s="52" t="s">
        <v>5</v>
      </c>
      <c r="C42" s="22" t="s">
        <v>298</v>
      </c>
      <c r="D42" s="45">
        <f>+D43</f>
        <v>2422000</v>
      </c>
      <c r="E42" s="45">
        <f t="shared" ref="E42:F42" si="5">+E43</f>
        <v>8000</v>
      </c>
      <c r="F42" s="45">
        <f t="shared" si="5"/>
        <v>9000</v>
      </c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3"/>
      <c r="T42" s="3"/>
      <c r="U42" s="109"/>
      <c r="V42" s="3"/>
      <c r="W42" s="3"/>
      <c r="X42" s="19"/>
      <c r="Y42" s="19"/>
      <c r="AB42" s="18"/>
      <c r="AC42" s="18"/>
      <c r="AD42" s="18"/>
      <c r="AE42" s="18"/>
      <c r="AF42" s="18"/>
      <c r="AG42" s="18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BL42" s="19"/>
      <c r="BM42" s="19"/>
    </row>
    <row r="43" spans="1:65" s="20" customFormat="1" ht="15.6" hidden="1" customHeight="1" x14ac:dyDescent="0.25">
      <c r="A43" s="56" t="s">
        <v>259</v>
      </c>
      <c r="B43" s="52" t="s">
        <v>8</v>
      </c>
      <c r="C43" s="22" t="s">
        <v>227</v>
      </c>
      <c r="D43" s="45">
        <f>7000+2415000</f>
        <v>2422000</v>
      </c>
      <c r="E43" s="45">
        <v>8000</v>
      </c>
      <c r="F43" s="45">
        <v>9000</v>
      </c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3"/>
      <c r="T43" s="3"/>
      <c r="U43" s="109"/>
      <c r="V43" s="3"/>
      <c r="W43" s="3"/>
      <c r="X43" s="19"/>
      <c r="Y43" s="19"/>
      <c r="AB43" s="18"/>
      <c r="AC43" s="18"/>
      <c r="AD43" s="18"/>
      <c r="AE43" s="18"/>
      <c r="AF43" s="18"/>
      <c r="AG43" s="18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BL43" s="19"/>
      <c r="BM43" s="19"/>
    </row>
    <row r="44" spans="1:65" s="4" customFormat="1" ht="28.95" customHeight="1" x14ac:dyDescent="0.25">
      <c r="A44" s="56" t="s">
        <v>37</v>
      </c>
      <c r="B44" s="52" t="s">
        <v>5</v>
      </c>
      <c r="C44" s="53" t="s">
        <v>299</v>
      </c>
      <c r="D44" s="45">
        <f>+D45</f>
        <v>27800000</v>
      </c>
      <c r="E44" s="45">
        <f>+E45</f>
        <v>28500000</v>
      </c>
      <c r="F44" s="45">
        <f>+F45</f>
        <v>29000000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109"/>
      <c r="V44" s="3"/>
      <c r="W44" s="3"/>
      <c r="X44" s="3"/>
      <c r="Y44" s="3"/>
      <c r="AB44" s="5"/>
      <c r="AC44" s="5"/>
      <c r="AD44" s="5"/>
      <c r="AE44" s="5"/>
      <c r="AF44" s="5"/>
      <c r="AG44" s="5"/>
      <c r="AH44" s="3"/>
      <c r="AI44" s="3"/>
      <c r="AJ44" s="3"/>
      <c r="AK44" s="3"/>
      <c r="AL44" s="3"/>
      <c r="AM44" s="3"/>
      <c r="AN44" s="3"/>
      <c r="AO44" s="3"/>
      <c r="AP44" s="3"/>
      <c r="AQ44" s="6"/>
      <c r="AR44" s="6"/>
      <c r="AS44" s="3"/>
      <c r="AT44" s="3"/>
      <c r="AU44" s="3"/>
      <c r="AV44" s="3"/>
      <c r="BL44" s="3"/>
      <c r="BM44" s="3"/>
    </row>
    <row r="45" spans="1:65" s="4" customFormat="1" ht="31.2" hidden="1" customHeight="1" x14ac:dyDescent="0.25">
      <c r="A45" s="56" t="s">
        <v>260</v>
      </c>
      <c r="B45" s="52" t="s">
        <v>8</v>
      </c>
      <c r="C45" s="53" t="s">
        <v>38</v>
      </c>
      <c r="D45" s="45">
        <v>27800000</v>
      </c>
      <c r="E45" s="45">
        <v>28500000</v>
      </c>
      <c r="F45" s="45">
        <v>29000000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109"/>
      <c r="V45" s="3"/>
      <c r="W45" s="3"/>
      <c r="X45" s="3"/>
      <c r="Y45" s="3"/>
      <c r="AB45" s="5"/>
      <c r="AC45" s="5"/>
      <c r="AD45" s="5"/>
      <c r="AE45" s="5"/>
      <c r="AF45" s="5"/>
      <c r="AG45" s="5"/>
      <c r="AH45" s="3"/>
      <c r="AI45" s="3"/>
      <c r="AJ45" s="3"/>
      <c r="AK45" s="3"/>
      <c r="AL45" s="111"/>
      <c r="AM45" s="3"/>
      <c r="AN45" s="3"/>
      <c r="AO45" s="3"/>
      <c r="AP45" s="3"/>
      <c r="AQ45" s="6"/>
      <c r="AR45" s="6"/>
      <c r="AS45" s="3"/>
      <c r="AT45" s="3"/>
      <c r="AU45" s="3"/>
      <c r="AV45" s="3"/>
      <c r="BL45" s="3"/>
      <c r="BM45" s="3"/>
    </row>
    <row r="46" spans="1:65" s="20" customFormat="1" ht="16.95" customHeight="1" x14ac:dyDescent="0.25">
      <c r="A46" s="58" t="s">
        <v>39</v>
      </c>
      <c r="B46" s="52" t="s">
        <v>5</v>
      </c>
      <c r="C46" s="14" t="s">
        <v>300</v>
      </c>
      <c r="D46" s="45">
        <f>+D47+D49</f>
        <v>73300000</v>
      </c>
      <c r="E46" s="45">
        <f t="shared" ref="E46:F46" si="6">+E47+E49</f>
        <v>70800000</v>
      </c>
      <c r="F46" s="45">
        <f t="shared" si="6"/>
        <v>71700000</v>
      </c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3"/>
      <c r="T46" s="3"/>
      <c r="U46" s="109"/>
      <c r="V46" s="3"/>
      <c r="W46" s="3"/>
      <c r="X46" s="19"/>
      <c r="Y46" s="19"/>
      <c r="AB46" s="18"/>
      <c r="AC46" s="18"/>
      <c r="AD46" s="18"/>
      <c r="AE46" s="18"/>
      <c r="AF46" s="18"/>
      <c r="AG46" s="18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BL46" s="19"/>
      <c r="BM46" s="19"/>
    </row>
    <row r="47" spans="1:65" s="4" customFormat="1" ht="15.6" customHeight="1" x14ac:dyDescent="0.25">
      <c r="A47" s="56" t="s">
        <v>40</v>
      </c>
      <c r="B47" s="52" t="s">
        <v>5</v>
      </c>
      <c r="C47" s="14" t="s">
        <v>301</v>
      </c>
      <c r="D47" s="45">
        <f>+D48</f>
        <v>22500000</v>
      </c>
      <c r="E47" s="45">
        <f>+E48</f>
        <v>21500000</v>
      </c>
      <c r="F47" s="45">
        <f>+F48</f>
        <v>22000000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109"/>
      <c r="V47" s="3"/>
      <c r="W47" s="3"/>
      <c r="X47" s="3"/>
      <c r="Y47" s="3"/>
      <c r="AB47" s="5"/>
      <c r="AC47" s="5"/>
      <c r="AD47" s="5"/>
      <c r="AE47" s="5"/>
      <c r="AF47" s="5"/>
      <c r="AG47" s="5"/>
      <c r="AH47" s="3"/>
      <c r="AI47" s="3"/>
      <c r="AJ47" s="3"/>
      <c r="AK47" s="3"/>
      <c r="AL47" s="3"/>
      <c r="AM47" s="3"/>
      <c r="AN47" s="3"/>
      <c r="AO47" s="3"/>
      <c r="AP47" s="3"/>
      <c r="AQ47" s="6"/>
      <c r="AR47" s="6"/>
      <c r="AS47" s="3"/>
      <c r="AT47" s="3"/>
      <c r="AU47" s="3"/>
      <c r="AV47" s="3"/>
      <c r="BL47" s="3"/>
      <c r="BM47" s="3"/>
    </row>
    <row r="48" spans="1:65" s="4" customFormat="1" ht="43.2" hidden="1" customHeight="1" x14ac:dyDescent="0.25">
      <c r="A48" s="56" t="s">
        <v>261</v>
      </c>
      <c r="B48" s="52" t="s">
        <v>8</v>
      </c>
      <c r="C48" s="14" t="s">
        <v>41</v>
      </c>
      <c r="D48" s="45">
        <f>21000000+1500000</f>
        <v>22500000</v>
      </c>
      <c r="E48" s="45">
        <v>21500000</v>
      </c>
      <c r="F48" s="45">
        <v>22000000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09"/>
      <c r="V48" s="3"/>
      <c r="W48" s="3"/>
      <c r="X48" s="3"/>
      <c r="Y48" s="3"/>
      <c r="AB48" s="5"/>
      <c r="AC48" s="5"/>
      <c r="AD48" s="5"/>
      <c r="AE48" s="5"/>
      <c r="AF48" s="5"/>
      <c r="AG48" s="5"/>
      <c r="AH48" s="3"/>
      <c r="AI48" s="3"/>
      <c r="AJ48" s="3"/>
      <c r="AK48" s="3"/>
      <c r="AL48" s="111"/>
      <c r="AM48" s="3"/>
      <c r="AN48" s="3"/>
      <c r="AO48" s="3"/>
      <c r="AP48" s="3"/>
      <c r="AQ48" s="6"/>
      <c r="AR48" s="6"/>
      <c r="AS48" s="3"/>
      <c r="AT48" s="3"/>
      <c r="AU48" s="3"/>
      <c r="AV48" s="3"/>
      <c r="BL48" s="3"/>
      <c r="BM48" s="3"/>
    </row>
    <row r="49" spans="1:65" s="4" customFormat="1" x14ac:dyDescent="0.25">
      <c r="A49" s="56" t="s">
        <v>262</v>
      </c>
      <c r="B49" s="52" t="s">
        <v>5</v>
      </c>
      <c r="C49" s="52" t="s">
        <v>302</v>
      </c>
      <c r="D49" s="45">
        <f>+D50+D52</f>
        <v>50800000</v>
      </c>
      <c r="E49" s="45">
        <f>+E50+E52</f>
        <v>49300000</v>
      </c>
      <c r="F49" s="45">
        <f>+F50+F52</f>
        <v>49700000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09"/>
      <c r="V49" s="3"/>
      <c r="W49" s="3"/>
      <c r="X49" s="3"/>
      <c r="Y49" s="3"/>
      <c r="AB49" s="5"/>
      <c r="AC49" s="5"/>
      <c r="AD49" s="5"/>
      <c r="AE49" s="5"/>
      <c r="AF49" s="5"/>
      <c r="AG49" s="5"/>
      <c r="AH49" s="3"/>
      <c r="AI49" s="3"/>
      <c r="AJ49" s="3"/>
      <c r="AK49" s="3"/>
      <c r="AL49" s="3"/>
      <c r="AM49" s="3"/>
      <c r="AN49" s="3"/>
      <c r="AO49" s="3"/>
      <c r="AP49" s="3"/>
      <c r="AQ49" s="6"/>
      <c r="AR49" s="6"/>
      <c r="AS49" s="3"/>
      <c r="AT49" s="3"/>
      <c r="AU49" s="3"/>
      <c r="AV49" s="3"/>
      <c r="BL49" s="3"/>
      <c r="BM49" s="3"/>
    </row>
    <row r="50" spans="1:65" s="4" customFormat="1" hidden="1" x14ac:dyDescent="0.25">
      <c r="A50" s="56" t="s">
        <v>42</v>
      </c>
      <c r="B50" s="52" t="s">
        <v>5</v>
      </c>
      <c r="C50" s="52" t="s">
        <v>43</v>
      </c>
      <c r="D50" s="45">
        <f>+D51</f>
        <v>35000000</v>
      </c>
      <c r="E50" s="45">
        <f>+E51</f>
        <v>33100000</v>
      </c>
      <c r="F50" s="45">
        <f>+F51</f>
        <v>33300000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09"/>
      <c r="V50" s="3"/>
      <c r="W50" s="3"/>
      <c r="X50" s="3"/>
      <c r="Y50" s="3"/>
      <c r="AB50" s="5"/>
      <c r="AC50" s="5"/>
      <c r="AD50" s="5"/>
      <c r="AE50" s="5"/>
      <c r="AF50" s="5"/>
      <c r="AG50" s="5"/>
      <c r="AH50" s="3"/>
      <c r="AI50" s="3"/>
      <c r="AJ50" s="3"/>
      <c r="AK50" s="3"/>
      <c r="AL50" s="3"/>
      <c r="AM50" s="3"/>
      <c r="AN50" s="3"/>
      <c r="AO50" s="3"/>
      <c r="AP50" s="3"/>
      <c r="AQ50" s="6"/>
      <c r="AR50" s="6"/>
      <c r="AS50" s="3"/>
      <c r="AT50" s="3"/>
      <c r="AU50" s="3"/>
      <c r="AV50" s="3"/>
      <c r="BL50" s="3"/>
      <c r="BM50" s="3"/>
    </row>
    <row r="51" spans="1:65" s="4" customFormat="1" ht="31.2" hidden="1" customHeight="1" x14ac:dyDescent="0.25">
      <c r="A51" s="56" t="s">
        <v>44</v>
      </c>
      <c r="B51" s="52" t="s">
        <v>8</v>
      </c>
      <c r="C51" s="52" t="s">
        <v>45</v>
      </c>
      <c r="D51" s="45">
        <f>32700000+2300000</f>
        <v>35000000</v>
      </c>
      <c r="E51" s="45">
        <v>33100000</v>
      </c>
      <c r="F51" s="45">
        <v>33300000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109"/>
      <c r="V51" s="3"/>
      <c r="W51" s="3"/>
      <c r="X51" s="3"/>
      <c r="Y51" s="3"/>
      <c r="AB51" s="5"/>
      <c r="AC51" s="5"/>
      <c r="AD51" s="5"/>
      <c r="AE51" s="5"/>
      <c r="AF51" s="5"/>
      <c r="AG51" s="5"/>
      <c r="AH51" s="3"/>
      <c r="AI51" s="3"/>
      <c r="AJ51" s="3"/>
      <c r="AK51" s="3"/>
      <c r="AL51" s="3"/>
      <c r="AM51" s="3"/>
      <c r="AN51" s="3"/>
      <c r="AO51" s="3"/>
      <c r="AP51" s="3"/>
      <c r="AQ51" s="6"/>
      <c r="AR51" s="6"/>
      <c r="AS51" s="3"/>
      <c r="AT51" s="3"/>
      <c r="AU51" s="3"/>
      <c r="AV51" s="3"/>
      <c r="BL51" s="3"/>
      <c r="BM51" s="3"/>
    </row>
    <row r="52" spans="1:65" s="4" customFormat="1" ht="18.600000000000001" hidden="1" customHeight="1" x14ac:dyDescent="0.25">
      <c r="A52" s="56" t="s">
        <v>46</v>
      </c>
      <c r="B52" s="52" t="s">
        <v>5</v>
      </c>
      <c r="C52" s="52" t="s">
        <v>47</v>
      </c>
      <c r="D52" s="45">
        <f>+D53</f>
        <v>15800000</v>
      </c>
      <c r="E52" s="45">
        <f>+E53</f>
        <v>16200000</v>
      </c>
      <c r="F52" s="45">
        <f>+F53</f>
        <v>16400000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109"/>
      <c r="V52" s="3"/>
      <c r="W52" s="3"/>
      <c r="X52" s="3"/>
      <c r="Y52" s="3"/>
      <c r="AB52" s="5"/>
      <c r="AC52" s="5"/>
      <c r="AD52" s="5"/>
      <c r="AE52" s="5"/>
      <c r="AF52" s="5"/>
      <c r="AG52" s="5"/>
      <c r="AH52" s="3"/>
      <c r="AI52" s="3"/>
      <c r="AJ52" s="3"/>
      <c r="AK52" s="3"/>
      <c r="AL52" s="3"/>
      <c r="AM52" s="3"/>
      <c r="AN52" s="3"/>
      <c r="AO52" s="3"/>
      <c r="AP52" s="3"/>
      <c r="AQ52" s="6"/>
      <c r="AR52" s="6"/>
      <c r="AS52" s="3"/>
      <c r="AT52" s="3"/>
      <c r="AU52" s="3"/>
      <c r="AV52" s="3"/>
      <c r="BL52" s="3"/>
      <c r="BM52" s="3"/>
    </row>
    <row r="53" spans="1:65" s="4" customFormat="1" ht="31.2" hidden="1" customHeight="1" x14ac:dyDescent="0.25">
      <c r="A53" s="56" t="s">
        <v>48</v>
      </c>
      <c r="B53" s="52" t="s">
        <v>8</v>
      </c>
      <c r="C53" s="52" t="s">
        <v>49</v>
      </c>
      <c r="D53" s="45">
        <f>16000000-200000</f>
        <v>15800000</v>
      </c>
      <c r="E53" s="45">
        <v>16200000</v>
      </c>
      <c r="F53" s="45">
        <v>16400000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109"/>
      <c r="V53" s="3"/>
      <c r="W53" s="3"/>
      <c r="X53" s="3"/>
      <c r="Y53" s="3"/>
      <c r="AB53" s="5"/>
      <c r="AC53" s="5"/>
      <c r="AD53" s="5"/>
      <c r="AE53" s="5"/>
      <c r="AF53" s="5"/>
      <c r="AG53" s="5"/>
      <c r="AH53" s="3"/>
      <c r="AI53" s="3"/>
      <c r="AJ53" s="3"/>
      <c r="AK53" s="3"/>
      <c r="AL53" s="111"/>
      <c r="AM53" s="3"/>
      <c r="AN53" s="3"/>
      <c r="AO53" s="3"/>
      <c r="AP53" s="3"/>
      <c r="AQ53" s="6"/>
      <c r="AR53" s="6"/>
      <c r="AS53" s="3"/>
      <c r="AT53" s="3"/>
      <c r="AU53" s="3"/>
      <c r="AV53" s="3"/>
      <c r="BL53" s="3"/>
      <c r="BM53" s="3"/>
    </row>
    <row r="54" spans="1:65" s="24" customFormat="1" ht="16.95" customHeight="1" x14ac:dyDescent="0.25">
      <c r="A54" s="58" t="s">
        <v>50</v>
      </c>
      <c r="B54" s="13" t="s">
        <v>5</v>
      </c>
      <c r="C54" s="14" t="s">
        <v>303</v>
      </c>
      <c r="D54" s="45">
        <f>+D55+D57</f>
        <v>65145000</v>
      </c>
      <c r="E54" s="45">
        <f t="shared" ref="E54:F54" si="7">+E55+E57</f>
        <v>37040000</v>
      </c>
      <c r="F54" s="45">
        <f t="shared" si="7"/>
        <v>37520000</v>
      </c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109"/>
      <c r="T54" s="109"/>
      <c r="U54" s="109"/>
      <c r="V54" s="109"/>
      <c r="W54" s="109"/>
      <c r="X54" s="23"/>
      <c r="Y54" s="23"/>
      <c r="AB54" s="25"/>
      <c r="AC54" s="25"/>
      <c r="AD54" s="25"/>
      <c r="AE54" s="25"/>
      <c r="AF54" s="25"/>
      <c r="AG54" s="25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BL54" s="23"/>
      <c r="BM54" s="23"/>
    </row>
    <row r="55" spans="1:65" s="24" customFormat="1" ht="29.4" customHeight="1" x14ac:dyDescent="0.25">
      <c r="A55" s="56" t="s">
        <v>51</v>
      </c>
      <c r="B55" s="52" t="s">
        <v>5</v>
      </c>
      <c r="C55" s="14" t="s">
        <v>304</v>
      </c>
      <c r="D55" s="45">
        <f>+D56</f>
        <v>65000000</v>
      </c>
      <c r="E55" s="45">
        <f>+E56</f>
        <v>37000000</v>
      </c>
      <c r="F55" s="45">
        <f>+F56</f>
        <v>37500000</v>
      </c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109"/>
      <c r="T55" s="109"/>
      <c r="U55" s="109"/>
      <c r="V55" s="109"/>
      <c r="W55" s="109"/>
      <c r="X55" s="23"/>
      <c r="Y55" s="23"/>
      <c r="AB55" s="25"/>
      <c r="AC55" s="25"/>
      <c r="AD55" s="25"/>
      <c r="AE55" s="25"/>
      <c r="AF55" s="25"/>
      <c r="AG55" s="25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BL55" s="23"/>
      <c r="BM55" s="23"/>
    </row>
    <row r="56" spans="1:65" s="4" customFormat="1" ht="43.95" hidden="1" customHeight="1" x14ac:dyDescent="0.25">
      <c r="A56" s="56" t="s">
        <v>263</v>
      </c>
      <c r="B56" s="52" t="s">
        <v>8</v>
      </c>
      <c r="C56" s="14" t="s">
        <v>52</v>
      </c>
      <c r="D56" s="45">
        <f>21400000+13600000+30000000</f>
        <v>65000000</v>
      </c>
      <c r="E56" s="45">
        <f>21700000+15300000</f>
        <v>37000000</v>
      </c>
      <c r="F56" s="86">
        <f>22000000+15500000</f>
        <v>37500000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109"/>
      <c r="V56" s="3"/>
      <c r="W56" s="3"/>
      <c r="X56" s="3"/>
      <c r="Y56" s="3"/>
      <c r="AB56" s="5"/>
      <c r="AC56" s="5"/>
      <c r="AD56" s="5"/>
      <c r="AE56" s="5"/>
      <c r="AF56" s="5"/>
      <c r="AG56" s="5"/>
      <c r="AH56" s="3"/>
      <c r="AI56" s="3"/>
      <c r="AJ56" s="3"/>
      <c r="AK56" s="3"/>
      <c r="AL56" s="111"/>
      <c r="AM56" s="3"/>
      <c r="AN56" s="3"/>
      <c r="AO56" s="3"/>
      <c r="AP56" s="3"/>
      <c r="AQ56" s="6"/>
      <c r="AR56" s="6"/>
      <c r="AS56" s="3"/>
      <c r="AT56" s="3"/>
      <c r="AU56" s="3"/>
      <c r="AV56" s="3"/>
      <c r="BL56" s="3"/>
      <c r="BM56" s="3"/>
    </row>
    <row r="57" spans="1:65" s="4" customFormat="1" ht="27" customHeight="1" x14ac:dyDescent="0.25">
      <c r="A57" s="56" t="s">
        <v>53</v>
      </c>
      <c r="B57" s="13" t="s">
        <v>5</v>
      </c>
      <c r="C57" s="14" t="s">
        <v>305</v>
      </c>
      <c r="D57" s="45">
        <f>+D58</f>
        <v>145000</v>
      </c>
      <c r="E57" s="45">
        <f t="shared" ref="E57:F58" si="8">+E58</f>
        <v>40000</v>
      </c>
      <c r="F57" s="45">
        <f t="shared" si="8"/>
        <v>20000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109"/>
      <c r="V57" s="3"/>
      <c r="W57" s="3"/>
      <c r="X57" s="3"/>
      <c r="Y57" s="3"/>
      <c r="AB57" s="5"/>
      <c r="AC57" s="5"/>
      <c r="AD57" s="5"/>
      <c r="AE57" s="5"/>
      <c r="AF57" s="5"/>
      <c r="AG57" s="5"/>
      <c r="AH57" s="3"/>
      <c r="AI57" s="3"/>
      <c r="AJ57" s="3"/>
      <c r="AK57" s="3"/>
      <c r="AL57" s="3"/>
      <c r="AM57" s="3"/>
      <c r="AN57" s="3"/>
      <c r="AO57" s="3"/>
      <c r="AP57" s="3"/>
      <c r="AQ57" s="6"/>
      <c r="AR57" s="6"/>
      <c r="AS57" s="3"/>
      <c r="AT57" s="3"/>
      <c r="AU57" s="3"/>
      <c r="AV57" s="3"/>
      <c r="BL57" s="3"/>
      <c r="BM57" s="3"/>
    </row>
    <row r="58" spans="1:65" s="4" customFormat="1" ht="27.6" hidden="1" customHeight="1" x14ac:dyDescent="0.25">
      <c r="A58" s="56" t="s">
        <v>54</v>
      </c>
      <c r="B58" s="13" t="s">
        <v>5</v>
      </c>
      <c r="C58" s="14" t="s">
        <v>56</v>
      </c>
      <c r="D58" s="45">
        <f>+D59</f>
        <v>145000</v>
      </c>
      <c r="E58" s="45">
        <f t="shared" si="8"/>
        <v>40000</v>
      </c>
      <c r="F58" s="45">
        <f t="shared" si="8"/>
        <v>20000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109"/>
      <c r="V58" s="3"/>
      <c r="W58" s="3"/>
      <c r="X58" s="3"/>
      <c r="Y58" s="3"/>
      <c r="AB58" s="5"/>
      <c r="AC58" s="5"/>
      <c r="AD58" s="5"/>
      <c r="AE58" s="5"/>
      <c r="AF58" s="5"/>
      <c r="AG58" s="5"/>
      <c r="AH58" s="3"/>
      <c r="AI58" s="3"/>
      <c r="AJ58" s="3"/>
      <c r="AK58" s="3"/>
      <c r="AL58" s="3"/>
      <c r="AM58" s="3"/>
      <c r="AN58" s="3"/>
      <c r="AO58" s="3"/>
      <c r="AP58" s="3"/>
      <c r="AQ58" s="6"/>
      <c r="AR58" s="6"/>
      <c r="AS58" s="3"/>
      <c r="AT58" s="3"/>
      <c r="AU58" s="3"/>
      <c r="AV58" s="3"/>
      <c r="BL58" s="3"/>
      <c r="BM58" s="3"/>
    </row>
    <row r="59" spans="1:65" s="4" customFormat="1" ht="30.6" hidden="1" customHeight="1" x14ac:dyDescent="0.25">
      <c r="A59" s="56" t="s">
        <v>266</v>
      </c>
      <c r="B59" s="13" t="s">
        <v>55</v>
      </c>
      <c r="C59" s="14" t="s">
        <v>212</v>
      </c>
      <c r="D59" s="45">
        <f>105000+40000</f>
        <v>145000</v>
      </c>
      <c r="E59" s="45">
        <v>40000</v>
      </c>
      <c r="F59" s="45">
        <v>20000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109"/>
      <c r="V59" s="3"/>
      <c r="W59" s="3"/>
      <c r="X59" s="3"/>
      <c r="Y59" s="3"/>
      <c r="AB59" s="5"/>
      <c r="AC59" s="5"/>
      <c r="AD59" s="5"/>
      <c r="AE59" s="5"/>
      <c r="AF59" s="5"/>
      <c r="AG59" s="5"/>
      <c r="AH59" s="3"/>
      <c r="AI59" s="3"/>
      <c r="AJ59" s="3"/>
      <c r="AK59" s="3"/>
      <c r="AL59" s="3"/>
      <c r="AM59" s="3"/>
      <c r="AN59" s="3"/>
      <c r="AO59" s="3"/>
      <c r="AP59" s="3"/>
      <c r="AQ59" s="6"/>
      <c r="AR59" s="6"/>
      <c r="AS59" s="3"/>
      <c r="AT59" s="3"/>
      <c r="AU59" s="3"/>
      <c r="AV59" s="3"/>
      <c r="BL59" s="3"/>
      <c r="BM59" s="3"/>
    </row>
    <row r="60" spans="1:65" s="20" customFormat="1" ht="43.2" customHeight="1" x14ac:dyDescent="0.25">
      <c r="A60" s="58" t="s">
        <v>58</v>
      </c>
      <c r="B60" s="13" t="s">
        <v>5</v>
      </c>
      <c r="C60" s="14" t="s">
        <v>306</v>
      </c>
      <c r="D60" s="45">
        <f>+D61+D88+D83+D78</f>
        <v>108478414.61</v>
      </c>
      <c r="E60" s="45">
        <f>+E61+E88+E83+E78</f>
        <v>110708285</v>
      </c>
      <c r="F60" s="45">
        <f>+F61+F88+F83+F78</f>
        <v>114932300</v>
      </c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3"/>
      <c r="T60" s="3"/>
      <c r="U60" s="109"/>
      <c r="V60" s="3"/>
      <c r="W60" s="3"/>
      <c r="X60" s="19"/>
      <c r="Y60" s="19"/>
      <c r="AB60" s="18"/>
      <c r="AC60" s="18"/>
      <c r="AD60" s="18"/>
      <c r="AE60" s="18"/>
      <c r="AF60" s="18"/>
      <c r="AG60" s="18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BL60" s="19"/>
      <c r="BM60" s="19"/>
    </row>
    <row r="61" spans="1:65" s="4" customFormat="1" ht="75" customHeight="1" x14ac:dyDescent="0.25">
      <c r="A61" s="56" t="s">
        <v>59</v>
      </c>
      <c r="B61" s="13" t="s">
        <v>5</v>
      </c>
      <c r="C61" s="14" t="s">
        <v>307</v>
      </c>
      <c r="D61" s="45">
        <f>D62+D67+D74+D72</f>
        <v>84621732.530000001</v>
      </c>
      <c r="E61" s="45">
        <f>E62+E67+E74</f>
        <v>88426580</v>
      </c>
      <c r="F61" s="45">
        <f>F62+F67+F74</f>
        <v>92052070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09"/>
      <c r="V61" s="3"/>
      <c r="W61" s="3"/>
      <c r="X61" s="3"/>
      <c r="Y61" s="3"/>
      <c r="AB61" s="5"/>
      <c r="AC61" s="5"/>
      <c r="AD61" s="5"/>
      <c r="AE61" s="5"/>
      <c r="AF61" s="5"/>
      <c r="AG61" s="5"/>
      <c r="AH61" s="3"/>
      <c r="AI61" s="3"/>
      <c r="AJ61" s="3"/>
      <c r="AK61" s="3"/>
      <c r="AL61" s="3"/>
      <c r="AM61" s="3"/>
      <c r="AN61" s="3"/>
      <c r="AO61" s="3"/>
      <c r="AP61" s="3"/>
      <c r="AQ61" s="6"/>
      <c r="AR61" s="6"/>
      <c r="AS61" s="3"/>
      <c r="AT61" s="3"/>
      <c r="AU61" s="3"/>
      <c r="AV61" s="3"/>
      <c r="BL61" s="3"/>
      <c r="BM61" s="3"/>
    </row>
    <row r="62" spans="1:65" s="4" customFormat="1" ht="58.2" customHeight="1" x14ac:dyDescent="0.25">
      <c r="A62" s="56" t="s">
        <v>60</v>
      </c>
      <c r="B62" s="13" t="s">
        <v>5</v>
      </c>
      <c r="C62" s="14" t="s">
        <v>370</v>
      </c>
      <c r="D62" s="45">
        <f>+D63</f>
        <v>67928591</v>
      </c>
      <c r="E62" s="45">
        <f t="shared" ref="E62:F62" si="9">+E63</f>
        <v>70985377</v>
      </c>
      <c r="F62" s="45">
        <f t="shared" si="9"/>
        <v>73895778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109"/>
      <c r="V62" s="3"/>
      <c r="W62" s="3"/>
      <c r="X62" s="3"/>
      <c r="Y62" s="3"/>
      <c r="AB62" s="5"/>
      <c r="AC62" s="5"/>
      <c r="AD62" s="5"/>
      <c r="AE62" s="5"/>
      <c r="AF62" s="5"/>
      <c r="AG62" s="5"/>
      <c r="AH62" s="3"/>
      <c r="AI62" s="3"/>
      <c r="AJ62" s="3"/>
      <c r="AK62" s="3"/>
      <c r="AL62" s="3"/>
      <c r="AM62" s="3"/>
      <c r="AN62" s="3"/>
      <c r="AO62" s="3"/>
      <c r="AP62" s="3"/>
      <c r="AQ62" s="6"/>
      <c r="AR62" s="6"/>
      <c r="AS62" s="3"/>
      <c r="AT62" s="3"/>
      <c r="AU62" s="3"/>
      <c r="AV62" s="3"/>
      <c r="BL62" s="3"/>
      <c r="BM62" s="3"/>
    </row>
    <row r="63" spans="1:65" s="4" customFormat="1" ht="72" hidden="1" customHeight="1" x14ac:dyDescent="0.25">
      <c r="A63" s="56" t="s">
        <v>61</v>
      </c>
      <c r="B63" s="13" t="s">
        <v>5</v>
      </c>
      <c r="C63" s="14" t="s">
        <v>62</v>
      </c>
      <c r="D63" s="45">
        <f>+D64+D65+D66</f>
        <v>67928591</v>
      </c>
      <c r="E63" s="45">
        <f t="shared" ref="E63:F63" si="10">+E64+E65+E66</f>
        <v>70985377</v>
      </c>
      <c r="F63" s="45">
        <f t="shared" si="10"/>
        <v>73895778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09"/>
      <c r="V63" s="3"/>
      <c r="W63" s="3"/>
      <c r="X63" s="3"/>
      <c r="Y63" s="3"/>
      <c r="AB63" s="5"/>
      <c r="AC63" s="5"/>
      <c r="AD63" s="5"/>
      <c r="AE63" s="5"/>
      <c r="AF63" s="5"/>
      <c r="AG63" s="5"/>
      <c r="AH63" s="3"/>
      <c r="AI63" s="3"/>
      <c r="AJ63" s="3"/>
      <c r="AK63" s="3"/>
      <c r="AL63" s="3"/>
      <c r="AM63" s="3"/>
      <c r="AN63" s="3"/>
      <c r="AO63" s="3"/>
      <c r="AP63" s="3"/>
      <c r="AQ63" s="6"/>
      <c r="AR63" s="6"/>
      <c r="AS63" s="3"/>
      <c r="AT63" s="3"/>
      <c r="AU63" s="3"/>
      <c r="AV63" s="3"/>
      <c r="BL63" s="3"/>
      <c r="BM63" s="3"/>
    </row>
    <row r="64" spans="1:65" s="4" customFormat="1" ht="72" hidden="1" customHeight="1" x14ac:dyDescent="0.25">
      <c r="A64" s="56" t="s">
        <v>345</v>
      </c>
      <c r="B64" s="13" t="s">
        <v>55</v>
      </c>
      <c r="C64" s="14" t="s">
        <v>213</v>
      </c>
      <c r="D64" s="45">
        <v>67279365.959999993</v>
      </c>
      <c r="E64" s="45">
        <v>70985377</v>
      </c>
      <c r="F64" s="45">
        <v>73895778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109"/>
      <c r="V64" s="3"/>
      <c r="W64" s="3"/>
      <c r="X64" s="3"/>
      <c r="Y64" s="3"/>
      <c r="AB64" s="5"/>
      <c r="AC64" s="5"/>
      <c r="AD64" s="5"/>
      <c r="AE64" s="5"/>
      <c r="AF64" s="5"/>
      <c r="AG64" s="5"/>
      <c r="AH64" s="3"/>
      <c r="AI64" s="3"/>
      <c r="AJ64" s="3"/>
      <c r="AK64" s="3"/>
      <c r="AL64" s="3"/>
      <c r="AM64" s="3"/>
      <c r="AN64" s="3"/>
      <c r="AO64" s="3"/>
      <c r="AP64" s="3"/>
      <c r="AQ64" s="6"/>
      <c r="AR64" s="6"/>
      <c r="AS64" s="3"/>
      <c r="AT64" s="3"/>
      <c r="AU64" s="3"/>
      <c r="AV64" s="3"/>
      <c r="BL64" s="3"/>
      <c r="BM64" s="3"/>
    </row>
    <row r="65" spans="1:65" s="4" customFormat="1" ht="84" hidden="1" customHeight="1" x14ac:dyDescent="0.25">
      <c r="A65" s="56" t="s">
        <v>481</v>
      </c>
      <c r="B65" s="13" t="s">
        <v>55</v>
      </c>
      <c r="C65" s="14" t="s">
        <v>469</v>
      </c>
      <c r="D65" s="45">
        <v>615000</v>
      </c>
      <c r="E65" s="45">
        <v>0</v>
      </c>
      <c r="F65" s="45">
        <v>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109"/>
      <c r="V65" s="3"/>
      <c r="W65" s="3"/>
      <c r="X65" s="3"/>
      <c r="Y65" s="3"/>
      <c r="AB65" s="5"/>
      <c r="AC65" s="5"/>
      <c r="AD65" s="5"/>
      <c r="AE65" s="5"/>
      <c r="AF65" s="5"/>
      <c r="AG65" s="5"/>
      <c r="AH65" s="3"/>
      <c r="AI65" s="3"/>
      <c r="AJ65" s="3"/>
      <c r="AK65" s="3"/>
      <c r="AL65" s="3"/>
      <c r="AM65" s="3"/>
      <c r="AN65" s="3"/>
      <c r="AO65" s="3"/>
      <c r="AP65" s="3"/>
      <c r="AQ65" s="6"/>
      <c r="AR65" s="6"/>
      <c r="AS65" s="3"/>
      <c r="AT65" s="3"/>
      <c r="AU65" s="3"/>
      <c r="AV65" s="3"/>
      <c r="BL65" s="3"/>
      <c r="BM65" s="3"/>
    </row>
    <row r="66" spans="1:65" s="4" customFormat="1" ht="96.6" hidden="1" customHeight="1" x14ac:dyDescent="0.25">
      <c r="A66" s="56" t="s">
        <v>484</v>
      </c>
      <c r="B66" s="13" t="s">
        <v>55</v>
      </c>
      <c r="C66" s="14" t="s">
        <v>470</v>
      </c>
      <c r="D66" s="45">
        <v>34225.040000000001</v>
      </c>
      <c r="E66" s="45">
        <v>0</v>
      </c>
      <c r="F66" s="45"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109"/>
      <c r="V66" s="3"/>
      <c r="W66" s="3"/>
      <c r="X66" s="3"/>
      <c r="Y66" s="3"/>
      <c r="AB66" s="5"/>
      <c r="AC66" s="5"/>
      <c r="AD66" s="5"/>
      <c r="AE66" s="5"/>
      <c r="AF66" s="5"/>
      <c r="AG66" s="5"/>
      <c r="AH66" s="3"/>
      <c r="AI66" s="3"/>
      <c r="AJ66" s="3"/>
      <c r="AK66" s="3"/>
      <c r="AL66" s="3"/>
      <c r="AM66" s="3"/>
      <c r="AN66" s="3"/>
      <c r="AO66" s="3"/>
      <c r="AP66" s="3"/>
      <c r="AQ66" s="6"/>
      <c r="AR66" s="6"/>
      <c r="AS66" s="3"/>
      <c r="AT66" s="3"/>
      <c r="AU66" s="3"/>
      <c r="AV66" s="3"/>
      <c r="BL66" s="3"/>
      <c r="BM66" s="3"/>
    </row>
    <row r="67" spans="1:65" s="4" customFormat="1" ht="73.95" customHeight="1" x14ac:dyDescent="0.25">
      <c r="A67" s="56" t="s">
        <v>63</v>
      </c>
      <c r="B67" s="13" t="s">
        <v>5</v>
      </c>
      <c r="C67" s="14" t="s">
        <v>371</v>
      </c>
      <c r="D67" s="45">
        <f>+D68</f>
        <v>9595036</v>
      </c>
      <c r="E67" s="45">
        <f t="shared" ref="E67:F67" si="11">+E68</f>
        <v>10026813</v>
      </c>
      <c r="F67" s="45">
        <f t="shared" si="11"/>
        <v>10437912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109"/>
      <c r="V67" s="3"/>
      <c r="W67" s="3"/>
      <c r="X67" s="3"/>
      <c r="Y67" s="3"/>
      <c r="AB67" s="5"/>
      <c r="AC67" s="5"/>
      <c r="AD67" s="5"/>
      <c r="AE67" s="5"/>
      <c r="AF67" s="5"/>
      <c r="AG67" s="5"/>
      <c r="AH67" s="3"/>
      <c r="AI67" s="3"/>
      <c r="AJ67" s="3"/>
      <c r="AK67" s="3"/>
      <c r="AL67" s="3"/>
      <c r="AM67" s="3"/>
      <c r="AN67" s="3"/>
      <c r="AO67" s="3"/>
      <c r="AP67" s="3"/>
      <c r="AQ67" s="6"/>
      <c r="AR67" s="6"/>
      <c r="AS67" s="3"/>
      <c r="AT67" s="3"/>
      <c r="AU67" s="3"/>
      <c r="AV67" s="3"/>
      <c r="BL67" s="3"/>
      <c r="BM67" s="3"/>
    </row>
    <row r="68" spans="1:65" s="4" customFormat="1" ht="69" hidden="1" customHeight="1" x14ac:dyDescent="0.25">
      <c r="A68" s="56" t="s">
        <v>64</v>
      </c>
      <c r="B68" s="13" t="s">
        <v>5</v>
      </c>
      <c r="C68" s="14" t="s">
        <v>65</v>
      </c>
      <c r="D68" s="45">
        <f>+D69+D70+D71</f>
        <v>9595036</v>
      </c>
      <c r="E68" s="45">
        <f t="shared" ref="E68:F68" si="12">+E69+E70+E71</f>
        <v>10026813</v>
      </c>
      <c r="F68" s="45">
        <f t="shared" si="12"/>
        <v>10437912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109"/>
      <c r="V68" s="3"/>
      <c r="W68" s="3"/>
      <c r="X68" s="3"/>
      <c r="Y68" s="3"/>
      <c r="AB68" s="5"/>
      <c r="AC68" s="5"/>
      <c r="AD68" s="5"/>
      <c r="AE68" s="5"/>
      <c r="AF68" s="5"/>
      <c r="AG68" s="5"/>
      <c r="AH68" s="3"/>
      <c r="AI68" s="3"/>
      <c r="AJ68" s="3"/>
      <c r="AK68" s="3"/>
      <c r="AL68" s="3"/>
      <c r="AM68" s="3"/>
      <c r="AN68" s="3"/>
      <c r="AO68" s="3"/>
      <c r="AP68" s="3"/>
      <c r="AQ68" s="6"/>
      <c r="AR68" s="6"/>
      <c r="AS68" s="3"/>
      <c r="AT68" s="3"/>
      <c r="AU68" s="3"/>
      <c r="AV68" s="3"/>
      <c r="BL68" s="3"/>
      <c r="BM68" s="3"/>
    </row>
    <row r="69" spans="1:65" s="4" customFormat="1" ht="70.2" hidden="1" customHeight="1" x14ac:dyDescent="0.25">
      <c r="A69" s="56" t="s">
        <v>215</v>
      </c>
      <c r="B69" s="13" t="s">
        <v>55</v>
      </c>
      <c r="C69" s="14" t="s">
        <v>214</v>
      </c>
      <c r="D69" s="45">
        <v>9126168.1999999993</v>
      </c>
      <c r="E69" s="45">
        <v>10026813</v>
      </c>
      <c r="F69" s="45">
        <v>10437912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09"/>
      <c r="V69" s="3"/>
      <c r="W69" s="3"/>
      <c r="X69" s="3"/>
      <c r="Y69" s="3"/>
      <c r="AB69" s="5"/>
      <c r="AC69" s="5"/>
      <c r="AD69" s="5"/>
      <c r="AE69" s="5"/>
      <c r="AF69" s="5"/>
      <c r="AG69" s="5"/>
      <c r="AH69" s="3"/>
      <c r="AI69" s="3"/>
      <c r="AJ69" s="3"/>
      <c r="AK69" s="3"/>
      <c r="AL69" s="3"/>
      <c r="AM69" s="3"/>
      <c r="AN69" s="3"/>
      <c r="AO69" s="3"/>
      <c r="AP69" s="3"/>
      <c r="AQ69" s="6"/>
      <c r="AR69" s="6"/>
      <c r="AS69" s="3"/>
      <c r="AT69" s="3"/>
      <c r="AU69" s="3"/>
      <c r="AV69" s="3"/>
      <c r="BL69" s="3"/>
      <c r="BM69" s="3"/>
    </row>
    <row r="70" spans="1:65" s="4" customFormat="1" ht="70.2" hidden="1" customHeight="1" x14ac:dyDescent="0.25">
      <c r="A70" s="56" t="s">
        <v>482</v>
      </c>
      <c r="B70" s="13" t="s">
        <v>55</v>
      </c>
      <c r="C70" s="14" t="s">
        <v>471</v>
      </c>
      <c r="D70" s="45">
        <v>425000</v>
      </c>
      <c r="E70" s="45">
        <v>0</v>
      </c>
      <c r="F70" s="45">
        <v>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109"/>
      <c r="V70" s="3"/>
      <c r="W70" s="3"/>
      <c r="X70" s="3"/>
      <c r="Y70" s="3"/>
      <c r="AB70" s="5"/>
      <c r="AC70" s="5"/>
      <c r="AD70" s="5"/>
      <c r="AE70" s="5"/>
      <c r="AF70" s="5"/>
      <c r="AG70" s="5"/>
      <c r="AH70" s="3"/>
      <c r="AI70" s="3"/>
      <c r="AJ70" s="3"/>
      <c r="AK70" s="3"/>
      <c r="AL70" s="3"/>
      <c r="AM70" s="3"/>
      <c r="AN70" s="3"/>
      <c r="AO70" s="3"/>
      <c r="AP70" s="3"/>
      <c r="AQ70" s="6"/>
      <c r="AR70" s="6"/>
      <c r="AS70" s="3"/>
      <c r="AT70" s="3"/>
      <c r="AU70" s="3"/>
      <c r="AV70" s="3"/>
      <c r="BL70" s="3"/>
      <c r="BM70" s="3"/>
    </row>
    <row r="71" spans="1:65" s="4" customFormat="1" ht="93.6" hidden="1" customHeight="1" x14ac:dyDescent="0.25">
      <c r="A71" s="56" t="s">
        <v>485</v>
      </c>
      <c r="B71" s="13" t="s">
        <v>55</v>
      </c>
      <c r="C71" s="14" t="s">
        <v>472</v>
      </c>
      <c r="D71" s="45">
        <v>43867.8</v>
      </c>
      <c r="E71" s="45">
        <v>0</v>
      </c>
      <c r="F71" s="45">
        <v>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109"/>
      <c r="V71" s="3"/>
      <c r="W71" s="3"/>
      <c r="X71" s="3"/>
      <c r="Y71" s="3"/>
      <c r="AB71" s="5"/>
      <c r="AC71" s="5"/>
      <c r="AD71" s="5"/>
      <c r="AE71" s="5"/>
      <c r="AF71" s="5"/>
      <c r="AG71" s="5"/>
      <c r="AH71" s="3"/>
      <c r="AI71" s="3"/>
      <c r="AJ71" s="3"/>
      <c r="AK71" s="3"/>
      <c r="AL71" s="3"/>
      <c r="AM71" s="3"/>
      <c r="AN71" s="3"/>
      <c r="AO71" s="3"/>
      <c r="AP71" s="3"/>
      <c r="AQ71" s="6"/>
      <c r="AR71" s="6"/>
      <c r="AS71" s="3"/>
      <c r="AT71" s="3"/>
      <c r="AU71" s="3"/>
      <c r="AV71" s="3"/>
      <c r="BL71" s="3"/>
      <c r="BM71" s="3"/>
    </row>
    <row r="72" spans="1:65" s="4" customFormat="1" ht="70.2" customHeight="1" x14ac:dyDescent="0.25">
      <c r="A72" s="56" t="s">
        <v>458</v>
      </c>
      <c r="B72" s="13" t="s">
        <v>5</v>
      </c>
      <c r="C72" s="14" t="s">
        <v>500</v>
      </c>
      <c r="D72" s="45">
        <f>+D73</f>
        <v>2995.53</v>
      </c>
      <c r="E72" s="45">
        <f t="shared" ref="E72:F72" si="13">+E73</f>
        <v>0</v>
      </c>
      <c r="F72" s="45">
        <f t="shared" si="13"/>
        <v>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109"/>
      <c r="V72" s="3"/>
      <c r="W72" s="3"/>
      <c r="X72" s="3"/>
      <c r="Y72" s="3"/>
      <c r="AB72" s="5"/>
      <c r="AC72" s="5"/>
      <c r="AD72" s="5"/>
      <c r="AE72" s="5"/>
      <c r="AF72" s="5"/>
      <c r="AG72" s="5"/>
      <c r="AH72" s="3"/>
      <c r="AI72" s="3"/>
      <c r="AJ72" s="3"/>
      <c r="AK72" s="3"/>
      <c r="AL72" s="3"/>
      <c r="AM72" s="3"/>
      <c r="AN72" s="3"/>
      <c r="AO72" s="3"/>
      <c r="AP72" s="3"/>
      <c r="AQ72" s="6"/>
      <c r="AR72" s="6"/>
      <c r="AS72" s="3"/>
      <c r="AT72" s="3"/>
      <c r="AU72" s="3"/>
      <c r="AV72" s="3"/>
      <c r="BL72" s="3"/>
      <c r="BM72" s="3"/>
    </row>
    <row r="73" spans="1:65" s="4" customFormat="1" ht="55.8" hidden="1" customHeight="1" x14ac:dyDescent="0.25">
      <c r="A73" s="56" t="s">
        <v>456</v>
      </c>
      <c r="B73" s="13" t="s">
        <v>157</v>
      </c>
      <c r="C73" s="14" t="s">
        <v>457</v>
      </c>
      <c r="D73" s="45">
        <v>2995.53</v>
      </c>
      <c r="E73" s="45">
        <v>0</v>
      </c>
      <c r="F73" s="45">
        <v>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109"/>
      <c r="V73" s="3"/>
      <c r="W73" s="3"/>
      <c r="X73" s="3"/>
      <c r="Y73" s="3"/>
      <c r="AB73" s="5"/>
      <c r="AC73" s="5"/>
      <c r="AD73" s="5"/>
      <c r="AE73" s="5"/>
      <c r="AF73" s="5"/>
      <c r="AG73" s="5"/>
      <c r="AH73" s="3"/>
      <c r="AI73" s="3"/>
      <c r="AJ73" s="3"/>
      <c r="AK73" s="3"/>
      <c r="AL73" s="3"/>
      <c r="AM73" s="3"/>
      <c r="AN73" s="3"/>
      <c r="AO73" s="3"/>
      <c r="AP73" s="3"/>
      <c r="AQ73" s="6"/>
      <c r="AR73" s="6"/>
      <c r="AS73" s="3"/>
      <c r="AT73" s="3"/>
      <c r="AU73" s="3"/>
      <c r="AV73" s="3"/>
      <c r="BL73" s="3"/>
      <c r="BM73" s="3"/>
    </row>
    <row r="74" spans="1:65" s="4" customFormat="1" ht="42" customHeight="1" x14ac:dyDescent="0.25">
      <c r="A74" s="56" t="s">
        <v>66</v>
      </c>
      <c r="B74" s="13" t="s">
        <v>5</v>
      </c>
      <c r="C74" s="14" t="s">
        <v>308</v>
      </c>
      <c r="D74" s="45">
        <f>+D75</f>
        <v>7095110</v>
      </c>
      <c r="E74" s="45">
        <f t="shared" ref="E74:F74" si="14">+E75</f>
        <v>7414390</v>
      </c>
      <c r="F74" s="45">
        <f t="shared" si="14"/>
        <v>7718380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109"/>
      <c r="V74" s="3"/>
      <c r="W74" s="3"/>
      <c r="X74" s="3"/>
      <c r="Y74" s="3"/>
      <c r="AB74" s="5"/>
      <c r="AC74" s="5"/>
      <c r="AD74" s="5"/>
      <c r="AE74" s="5"/>
      <c r="AF74" s="5"/>
      <c r="AG74" s="5"/>
      <c r="AH74" s="3"/>
      <c r="AI74" s="3"/>
      <c r="AJ74" s="3"/>
      <c r="AK74" s="3"/>
      <c r="AL74" s="3"/>
      <c r="AM74" s="3"/>
      <c r="AN74" s="3"/>
      <c r="AO74" s="3"/>
      <c r="AP74" s="3"/>
      <c r="AQ74" s="6"/>
      <c r="AR74" s="6"/>
      <c r="AS74" s="3"/>
      <c r="AT74" s="3"/>
      <c r="AU74" s="3"/>
      <c r="AV74" s="3"/>
      <c r="BL74" s="3"/>
      <c r="BM74" s="3"/>
    </row>
    <row r="75" spans="1:65" s="4" customFormat="1" ht="26.4" hidden="1" x14ac:dyDescent="0.25">
      <c r="A75" s="56" t="s">
        <v>67</v>
      </c>
      <c r="B75" s="13" t="s">
        <v>5</v>
      </c>
      <c r="C75" s="14" t="s">
        <v>68</v>
      </c>
      <c r="D75" s="45">
        <f>+D76+D77</f>
        <v>7095110</v>
      </c>
      <c r="E75" s="45">
        <f t="shared" ref="E75:F75" si="15">+E76+E77</f>
        <v>7414390</v>
      </c>
      <c r="F75" s="45">
        <f t="shared" si="15"/>
        <v>7718380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109"/>
      <c r="V75" s="3"/>
      <c r="W75" s="3"/>
      <c r="X75" s="3"/>
      <c r="Y75" s="3"/>
      <c r="AB75" s="5"/>
      <c r="AC75" s="5"/>
      <c r="AD75" s="5"/>
      <c r="AE75" s="5"/>
      <c r="AF75" s="5"/>
      <c r="AG75" s="5"/>
      <c r="AH75" s="3"/>
      <c r="AI75" s="3"/>
      <c r="AJ75" s="3"/>
      <c r="AK75" s="3"/>
      <c r="AL75" s="3"/>
      <c r="AM75" s="3"/>
      <c r="AN75" s="3"/>
      <c r="AO75" s="3"/>
      <c r="AP75" s="3"/>
      <c r="AQ75" s="6"/>
      <c r="AR75" s="6"/>
      <c r="AS75" s="3"/>
      <c r="AT75" s="3"/>
      <c r="AU75" s="3"/>
      <c r="AV75" s="3"/>
      <c r="BL75" s="3"/>
      <c r="BM75" s="3"/>
    </row>
    <row r="76" spans="1:65" s="4" customFormat="1" ht="39.6" hidden="1" x14ac:dyDescent="0.25">
      <c r="A76" s="56" t="s">
        <v>217</v>
      </c>
      <c r="B76" s="13" t="s">
        <v>55</v>
      </c>
      <c r="C76" s="14" t="s">
        <v>216</v>
      </c>
      <c r="D76" s="45">
        <f>7095110-3217.9</f>
        <v>7091892.0999999996</v>
      </c>
      <c r="E76" s="45">
        <v>7414390</v>
      </c>
      <c r="F76" s="45">
        <v>7718380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109"/>
      <c r="V76" s="3"/>
      <c r="W76" s="3"/>
      <c r="X76" s="3"/>
      <c r="Y76" s="3"/>
      <c r="AB76" s="5"/>
      <c r="AC76" s="5"/>
      <c r="AD76" s="5"/>
      <c r="AE76" s="5"/>
      <c r="AF76" s="5"/>
      <c r="AG76" s="5"/>
      <c r="AH76" s="3"/>
      <c r="AI76" s="3"/>
      <c r="AJ76" s="3"/>
      <c r="AK76" s="3"/>
      <c r="AL76" s="3"/>
      <c r="AM76" s="3"/>
      <c r="AN76" s="3"/>
      <c r="AO76" s="3"/>
      <c r="AP76" s="3"/>
      <c r="AQ76" s="6"/>
      <c r="AR76" s="6"/>
      <c r="AS76" s="3"/>
      <c r="AT76" s="3"/>
      <c r="AU76" s="3"/>
      <c r="AV76" s="3"/>
      <c r="BL76" s="3"/>
      <c r="BM76" s="3"/>
    </row>
    <row r="77" spans="1:65" s="4" customFormat="1" ht="39.6" hidden="1" x14ac:dyDescent="0.25">
      <c r="A77" s="56" t="s">
        <v>483</v>
      </c>
      <c r="B77" s="13" t="s">
        <v>55</v>
      </c>
      <c r="C77" s="14" t="s">
        <v>473</v>
      </c>
      <c r="D77" s="45">
        <v>3217.9</v>
      </c>
      <c r="E77" s="45">
        <v>0</v>
      </c>
      <c r="F77" s="45">
        <v>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109"/>
      <c r="V77" s="3"/>
      <c r="W77" s="3"/>
      <c r="X77" s="3"/>
      <c r="Y77" s="3"/>
      <c r="AB77" s="5"/>
      <c r="AC77" s="5"/>
      <c r="AD77" s="5"/>
      <c r="AE77" s="5"/>
      <c r="AF77" s="5"/>
      <c r="AG77" s="5"/>
      <c r="AH77" s="3"/>
      <c r="AI77" s="3"/>
      <c r="AJ77" s="3"/>
      <c r="AK77" s="3"/>
      <c r="AL77" s="3"/>
      <c r="AM77" s="3"/>
      <c r="AN77" s="3"/>
      <c r="AO77" s="3"/>
      <c r="AP77" s="3"/>
      <c r="AQ77" s="6"/>
      <c r="AR77" s="6"/>
      <c r="AS77" s="3"/>
      <c r="AT77" s="3"/>
      <c r="AU77" s="3"/>
      <c r="AV77" s="3"/>
      <c r="BL77" s="3"/>
      <c r="BM77" s="3"/>
    </row>
    <row r="78" spans="1:65" s="4" customFormat="1" ht="43.2" customHeight="1" x14ac:dyDescent="0.25">
      <c r="A78" s="72" t="s">
        <v>276</v>
      </c>
      <c r="B78" s="13" t="s">
        <v>5</v>
      </c>
      <c r="C78" s="73" t="s">
        <v>309</v>
      </c>
      <c r="D78" s="45">
        <f>+D79+D81</f>
        <v>10941.08</v>
      </c>
      <c r="E78" s="45">
        <f t="shared" ref="E78:F78" si="16">+E79+E81</f>
        <v>3577</v>
      </c>
      <c r="F78" s="45">
        <f t="shared" si="16"/>
        <v>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109"/>
      <c r="V78" s="3"/>
      <c r="W78" s="3"/>
      <c r="X78" s="3"/>
      <c r="Y78" s="3"/>
      <c r="AB78" s="5"/>
      <c r="AC78" s="5"/>
      <c r="AD78" s="5"/>
      <c r="AE78" s="5"/>
      <c r="AF78" s="5"/>
      <c r="AG78" s="5"/>
      <c r="AH78" s="3"/>
      <c r="AI78" s="3"/>
      <c r="AJ78" s="3"/>
      <c r="AK78" s="3"/>
      <c r="AL78" s="3"/>
      <c r="AM78" s="3"/>
      <c r="AN78" s="3"/>
      <c r="AO78" s="3"/>
      <c r="AP78" s="3"/>
      <c r="AQ78" s="6"/>
      <c r="AR78" s="6"/>
      <c r="AS78" s="3"/>
      <c r="AT78" s="3"/>
      <c r="AU78" s="3"/>
      <c r="AV78" s="3"/>
      <c r="BL78" s="3"/>
      <c r="BM78" s="3"/>
    </row>
    <row r="79" spans="1:65" s="4" customFormat="1" ht="44.4" hidden="1" customHeight="1" x14ac:dyDescent="0.25">
      <c r="A79" s="72" t="s">
        <v>277</v>
      </c>
      <c r="B79" s="13" t="s">
        <v>5</v>
      </c>
      <c r="C79" s="73" t="s">
        <v>278</v>
      </c>
      <c r="D79" s="45">
        <f t="shared" ref="D79:F79" si="17">+D80</f>
        <v>10731</v>
      </c>
      <c r="E79" s="45">
        <f t="shared" si="17"/>
        <v>3577</v>
      </c>
      <c r="F79" s="45">
        <f t="shared" si="17"/>
        <v>0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109"/>
      <c r="V79" s="3"/>
      <c r="W79" s="3"/>
      <c r="X79" s="3"/>
      <c r="Y79" s="3"/>
      <c r="AB79" s="5"/>
      <c r="AC79" s="5"/>
      <c r="AD79" s="5"/>
      <c r="AE79" s="5"/>
      <c r="AF79" s="5"/>
      <c r="AG79" s="5"/>
      <c r="AH79" s="3"/>
      <c r="AI79" s="3"/>
      <c r="AJ79" s="3"/>
      <c r="AK79" s="3"/>
      <c r="AL79" s="3"/>
      <c r="AM79" s="3"/>
      <c r="AN79" s="3"/>
      <c r="AO79" s="3"/>
      <c r="AP79" s="3"/>
      <c r="AQ79" s="6"/>
      <c r="AR79" s="6"/>
      <c r="AS79" s="3"/>
      <c r="AT79" s="3"/>
      <c r="AU79" s="3"/>
      <c r="AV79" s="3"/>
      <c r="BL79" s="3"/>
      <c r="BM79" s="3"/>
    </row>
    <row r="80" spans="1:65" s="4" customFormat="1" ht="98.4" hidden="1" customHeight="1" x14ac:dyDescent="0.25">
      <c r="A80" s="72" t="s">
        <v>279</v>
      </c>
      <c r="B80" s="13" t="s">
        <v>183</v>
      </c>
      <c r="C80" s="73" t="s">
        <v>280</v>
      </c>
      <c r="D80" s="45">
        <v>10731</v>
      </c>
      <c r="E80" s="45">
        <v>3577</v>
      </c>
      <c r="F80" s="45">
        <v>0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09"/>
      <c r="V80" s="3"/>
      <c r="W80" s="3"/>
      <c r="X80" s="3"/>
      <c r="Y80" s="3"/>
      <c r="AB80" s="5"/>
      <c r="AC80" s="5"/>
      <c r="AD80" s="5"/>
      <c r="AE80" s="5"/>
      <c r="AF80" s="5"/>
      <c r="AG80" s="5"/>
      <c r="AH80" s="3"/>
      <c r="AI80" s="3"/>
      <c r="AJ80" s="3"/>
      <c r="AK80" s="3"/>
      <c r="AL80" s="3"/>
      <c r="AM80" s="3"/>
      <c r="AN80" s="3"/>
      <c r="AO80" s="3"/>
      <c r="AP80" s="3"/>
      <c r="AQ80" s="6"/>
      <c r="AR80" s="6"/>
      <c r="AS80" s="3"/>
      <c r="AT80" s="3"/>
      <c r="AU80" s="3"/>
      <c r="AV80" s="3"/>
      <c r="BL80" s="3"/>
      <c r="BM80" s="3"/>
    </row>
    <row r="81" spans="1:65" s="4" customFormat="1" ht="43.2" hidden="1" customHeight="1" x14ac:dyDescent="0.25">
      <c r="A81" s="72" t="s">
        <v>465</v>
      </c>
      <c r="B81" s="13" t="s">
        <v>5</v>
      </c>
      <c r="C81" s="73" t="s">
        <v>468</v>
      </c>
      <c r="D81" s="45">
        <f>+D82</f>
        <v>210.08</v>
      </c>
      <c r="E81" s="45">
        <f t="shared" ref="E81:F81" si="18">+E82</f>
        <v>0</v>
      </c>
      <c r="F81" s="45">
        <f t="shared" si="18"/>
        <v>0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109"/>
      <c r="V81" s="3"/>
      <c r="W81" s="3"/>
      <c r="X81" s="3"/>
      <c r="Y81" s="3"/>
      <c r="AB81" s="5"/>
      <c r="AC81" s="5"/>
      <c r="AD81" s="5"/>
      <c r="AE81" s="5"/>
      <c r="AF81" s="5"/>
      <c r="AG81" s="5"/>
      <c r="AH81" s="3"/>
      <c r="AI81" s="3"/>
      <c r="AJ81" s="3"/>
      <c r="AK81" s="3"/>
      <c r="AL81" s="3"/>
      <c r="AM81" s="3"/>
      <c r="AN81" s="3"/>
      <c r="AO81" s="3"/>
      <c r="AP81" s="3"/>
      <c r="AQ81" s="6"/>
      <c r="AR81" s="6"/>
      <c r="AS81" s="3"/>
      <c r="AT81" s="3"/>
      <c r="AU81" s="3"/>
      <c r="AV81" s="3"/>
      <c r="BL81" s="3"/>
      <c r="BM81" s="3"/>
    </row>
    <row r="82" spans="1:65" s="4" customFormat="1" ht="82.2" hidden="1" customHeight="1" x14ac:dyDescent="0.25">
      <c r="A82" s="72" t="s">
        <v>466</v>
      </c>
      <c r="B82" s="13" t="s">
        <v>57</v>
      </c>
      <c r="C82" s="73" t="s">
        <v>467</v>
      </c>
      <c r="D82" s="45">
        <v>210.08</v>
      </c>
      <c r="E82" s="45">
        <v>0</v>
      </c>
      <c r="F82" s="45">
        <v>0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109"/>
      <c r="V82" s="3"/>
      <c r="W82" s="3"/>
      <c r="X82" s="3"/>
      <c r="Y82" s="3"/>
      <c r="AB82" s="5"/>
      <c r="AC82" s="5"/>
      <c r="AD82" s="5"/>
      <c r="AE82" s="5"/>
      <c r="AF82" s="5"/>
      <c r="AG82" s="5"/>
      <c r="AH82" s="3"/>
      <c r="AI82" s="3"/>
      <c r="AJ82" s="3"/>
      <c r="AK82" s="3"/>
      <c r="AL82" s="3"/>
      <c r="AM82" s="3"/>
      <c r="AN82" s="3"/>
      <c r="AO82" s="3"/>
      <c r="AP82" s="3"/>
      <c r="AQ82" s="6"/>
      <c r="AR82" s="6"/>
      <c r="AS82" s="3"/>
      <c r="AT82" s="3"/>
      <c r="AU82" s="3"/>
      <c r="AV82" s="3"/>
      <c r="BL82" s="3"/>
      <c r="BM82" s="3"/>
    </row>
    <row r="83" spans="1:65" s="4" customFormat="1" ht="56.4" customHeight="1" x14ac:dyDescent="0.25">
      <c r="A83" s="60" t="s">
        <v>232</v>
      </c>
      <c r="B83" s="13" t="s">
        <v>5</v>
      </c>
      <c r="C83" s="32" t="s">
        <v>310</v>
      </c>
      <c r="D83" s="45">
        <f>+D84+D86</f>
        <v>92700</v>
      </c>
      <c r="E83" s="45">
        <f t="shared" ref="E83:F83" si="19">+E84+E86</f>
        <v>92700</v>
      </c>
      <c r="F83" s="45">
        <f t="shared" si="19"/>
        <v>92700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109"/>
      <c r="V83" s="3"/>
      <c r="W83" s="3"/>
      <c r="X83" s="3"/>
      <c r="Y83" s="3"/>
      <c r="AB83" s="5"/>
      <c r="AC83" s="5"/>
      <c r="AD83" s="5"/>
      <c r="AE83" s="5"/>
      <c r="AF83" s="5"/>
      <c r="AG83" s="5"/>
      <c r="AH83" s="3"/>
      <c r="AI83" s="3"/>
      <c r="AJ83" s="3"/>
      <c r="AK83" s="3"/>
      <c r="AL83" s="3"/>
      <c r="AM83" s="3"/>
      <c r="AN83" s="3"/>
      <c r="AO83" s="3"/>
      <c r="AP83" s="3"/>
      <c r="AQ83" s="6"/>
      <c r="AR83" s="6"/>
      <c r="AS83" s="3"/>
      <c r="AT83" s="3"/>
      <c r="AU83" s="3"/>
      <c r="AV83" s="3"/>
      <c r="BL83" s="3"/>
      <c r="BM83" s="3"/>
    </row>
    <row r="84" spans="1:65" s="4" customFormat="1" ht="54.6" hidden="1" customHeight="1" x14ac:dyDescent="0.25">
      <c r="A84" s="60" t="s">
        <v>233</v>
      </c>
      <c r="B84" s="13" t="s">
        <v>5</v>
      </c>
      <c r="C84" s="32" t="s">
        <v>235</v>
      </c>
      <c r="D84" s="45">
        <f>+D85</f>
        <v>90000</v>
      </c>
      <c r="E84" s="45">
        <f t="shared" ref="E84:F84" si="20">+E85</f>
        <v>90000</v>
      </c>
      <c r="F84" s="45">
        <f t="shared" si="20"/>
        <v>90000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109"/>
      <c r="V84" s="3"/>
      <c r="W84" s="3"/>
      <c r="X84" s="3"/>
      <c r="Y84" s="3"/>
      <c r="AB84" s="5"/>
      <c r="AC84" s="5"/>
      <c r="AD84" s="5"/>
      <c r="AE84" s="5"/>
      <c r="AF84" s="5"/>
      <c r="AG84" s="5"/>
      <c r="AH84" s="3"/>
      <c r="AI84" s="3"/>
      <c r="AJ84" s="3"/>
      <c r="AK84" s="3"/>
      <c r="AL84" s="3"/>
      <c r="AM84" s="3"/>
      <c r="AN84" s="3"/>
      <c r="AO84" s="3"/>
      <c r="AP84" s="3"/>
      <c r="AQ84" s="6"/>
      <c r="AR84" s="6"/>
      <c r="AS84" s="3"/>
      <c r="AT84" s="3"/>
      <c r="AU84" s="3"/>
      <c r="AV84" s="3"/>
      <c r="BL84" s="3"/>
      <c r="BM84" s="3"/>
    </row>
    <row r="85" spans="1:65" s="4" customFormat="1" ht="136.19999999999999" hidden="1" customHeight="1" x14ac:dyDescent="0.25">
      <c r="A85" s="60" t="s">
        <v>234</v>
      </c>
      <c r="B85" s="13" t="s">
        <v>55</v>
      </c>
      <c r="C85" s="32" t="s">
        <v>236</v>
      </c>
      <c r="D85" s="45">
        <v>90000</v>
      </c>
      <c r="E85" s="45">
        <v>90000</v>
      </c>
      <c r="F85" s="45">
        <v>90000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109"/>
      <c r="V85" s="3"/>
      <c r="W85" s="3"/>
      <c r="X85" s="3"/>
      <c r="Y85" s="3"/>
      <c r="AB85" s="5"/>
      <c r="AC85" s="5"/>
      <c r="AD85" s="5"/>
      <c r="AE85" s="5"/>
      <c r="AF85" s="5"/>
      <c r="AG85" s="5"/>
      <c r="AH85" s="3"/>
      <c r="AI85" s="3"/>
      <c r="AJ85" s="3"/>
      <c r="AK85" s="3"/>
      <c r="AL85" s="3"/>
      <c r="AM85" s="3"/>
      <c r="AN85" s="3"/>
      <c r="AO85" s="3"/>
      <c r="AP85" s="3"/>
      <c r="AQ85" s="6"/>
      <c r="AR85" s="6"/>
      <c r="AS85" s="3"/>
      <c r="AT85" s="3"/>
      <c r="AU85" s="3"/>
      <c r="AV85" s="3"/>
      <c r="BL85" s="3">
        <v>0</v>
      </c>
      <c r="BM85" s="3"/>
    </row>
    <row r="86" spans="1:65" s="4" customFormat="1" ht="57" hidden="1" customHeight="1" x14ac:dyDescent="0.25">
      <c r="A86" s="56" t="s">
        <v>237</v>
      </c>
      <c r="B86" s="13" t="s">
        <v>5</v>
      </c>
      <c r="C86" s="14" t="s">
        <v>238</v>
      </c>
      <c r="D86" s="45">
        <f>+D87</f>
        <v>2700</v>
      </c>
      <c r="E86" s="45">
        <f t="shared" ref="E86:F86" si="21">+E87</f>
        <v>2700</v>
      </c>
      <c r="F86" s="45">
        <f t="shared" si="21"/>
        <v>2700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109"/>
      <c r="V86" s="3"/>
      <c r="W86" s="3"/>
      <c r="X86" s="3"/>
      <c r="Y86" s="3"/>
      <c r="AB86" s="5"/>
      <c r="AC86" s="5"/>
      <c r="AD86" s="5"/>
      <c r="AE86" s="5"/>
      <c r="AF86" s="5"/>
      <c r="AG86" s="5"/>
      <c r="AH86" s="3"/>
      <c r="AI86" s="3"/>
      <c r="AJ86" s="3"/>
      <c r="AK86" s="3"/>
      <c r="AL86" s="3"/>
      <c r="AM86" s="3"/>
      <c r="AN86" s="3"/>
      <c r="AO86" s="3"/>
      <c r="AP86" s="3"/>
      <c r="AQ86" s="6"/>
      <c r="AR86" s="6"/>
      <c r="AS86" s="3"/>
      <c r="AT86" s="3"/>
      <c r="AU86" s="3"/>
      <c r="AV86" s="3"/>
      <c r="BL86" s="3"/>
      <c r="BM86" s="3"/>
    </row>
    <row r="87" spans="1:65" s="4" customFormat="1" ht="123" hidden="1" customHeight="1" x14ac:dyDescent="0.25">
      <c r="A87" s="56" t="s">
        <v>239</v>
      </c>
      <c r="B87" s="13" t="s">
        <v>55</v>
      </c>
      <c r="C87" s="14" t="s">
        <v>240</v>
      </c>
      <c r="D87" s="45">
        <v>2700</v>
      </c>
      <c r="E87" s="45">
        <v>2700</v>
      </c>
      <c r="F87" s="45">
        <v>2700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109"/>
      <c r="V87" s="3"/>
      <c r="W87" s="3"/>
      <c r="X87" s="3"/>
      <c r="Y87" s="3"/>
      <c r="AB87" s="5"/>
      <c r="AC87" s="5"/>
      <c r="AD87" s="5"/>
      <c r="AE87" s="5"/>
      <c r="AF87" s="5"/>
      <c r="AG87" s="5"/>
      <c r="AH87" s="3"/>
      <c r="AI87" s="3"/>
      <c r="AJ87" s="3"/>
      <c r="AK87" s="3"/>
      <c r="AL87" s="3"/>
      <c r="AM87" s="3"/>
      <c r="AN87" s="3"/>
      <c r="AO87" s="3"/>
      <c r="AP87" s="3"/>
      <c r="AQ87" s="6"/>
      <c r="AR87" s="6"/>
      <c r="AS87" s="3"/>
      <c r="AT87" s="3"/>
      <c r="AU87" s="3"/>
      <c r="AV87" s="3"/>
      <c r="BL87" s="3"/>
      <c r="BM87" s="3"/>
    </row>
    <row r="88" spans="1:65" s="4" customFormat="1" ht="69.599999999999994" customHeight="1" x14ac:dyDescent="0.25">
      <c r="A88" s="56" t="s">
        <v>69</v>
      </c>
      <c r="B88" s="13" t="s">
        <v>5</v>
      </c>
      <c r="C88" s="14" t="s">
        <v>311</v>
      </c>
      <c r="D88" s="45">
        <f>+D89+D94</f>
        <v>23753041</v>
      </c>
      <c r="E88" s="45">
        <f>+E89+E94</f>
        <v>22185428</v>
      </c>
      <c r="F88" s="45">
        <f>+F89+F94</f>
        <v>22787530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109"/>
      <c r="V88" s="3"/>
      <c r="W88" s="3"/>
      <c r="X88" s="3"/>
      <c r="Y88" s="3"/>
      <c r="AB88" s="5"/>
      <c r="AC88" s="5"/>
      <c r="AD88" s="5"/>
      <c r="AE88" s="5"/>
      <c r="AF88" s="5"/>
      <c r="AG88" s="5"/>
      <c r="AH88" s="3"/>
      <c r="AI88" s="3"/>
      <c r="AJ88" s="3"/>
      <c r="AK88" s="3"/>
      <c r="AL88" s="3"/>
      <c r="AM88" s="3"/>
      <c r="AN88" s="3"/>
      <c r="AO88" s="3"/>
      <c r="AP88" s="3"/>
      <c r="AQ88" s="6"/>
      <c r="AR88" s="6"/>
      <c r="AS88" s="3"/>
      <c r="AT88" s="3"/>
      <c r="AU88" s="3"/>
      <c r="AV88" s="3"/>
      <c r="BL88" s="3"/>
      <c r="BM88" s="3"/>
    </row>
    <row r="89" spans="1:65" s="4" customFormat="1" ht="73.2" customHeight="1" x14ac:dyDescent="0.25">
      <c r="A89" s="56" t="s">
        <v>70</v>
      </c>
      <c r="B89" s="13" t="s">
        <v>5</v>
      </c>
      <c r="C89" s="22" t="s">
        <v>312</v>
      </c>
      <c r="D89" s="45">
        <f>+D90</f>
        <v>7700000</v>
      </c>
      <c r="E89" s="45">
        <f t="shared" ref="E89:F90" si="22">+E90</f>
        <v>7500000</v>
      </c>
      <c r="F89" s="45">
        <f t="shared" si="22"/>
        <v>7500000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109"/>
      <c r="V89" s="3"/>
      <c r="W89" s="3"/>
      <c r="X89" s="3"/>
      <c r="Y89" s="3"/>
      <c r="AB89" s="5"/>
      <c r="AC89" s="5"/>
      <c r="AD89" s="5"/>
      <c r="AE89" s="5"/>
      <c r="AF89" s="5"/>
      <c r="AG89" s="5"/>
      <c r="AH89" s="3"/>
      <c r="AI89" s="3"/>
      <c r="AJ89" s="3"/>
      <c r="AK89" s="3"/>
      <c r="AL89" s="3"/>
      <c r="AM89" s="3"/>
      <c r="AN89" s="3"/>
      <c r="AO89" s="3"/>
      <c r="AP89" s="3"/>
      <c r="AQ89" s="6"/>
      <c r="AR89" s="6"/>
      <c r="AS89" s="3"/>
      <c r="AT89" s="3"/>
      <c r="AU89" s="3"/>
      <c r="AV89" s="3"/>
      <c r="BL89" s="3"/>
      <c r="BM89" s="3"/>
    </row>
    <row r="90" spans="1:65" s="4" customFormat="1" ht="70.95" hidden="1" customHeight="1" x14ac:dyDescent="0.25">
      <c r="A90" s="56" t="s">
        <v>71</v>
      </c>
      <c r="B90" s="13" t="s">
        <v>5</v>
      </c>
      <c r="C90" s="14" t="s">
        <v>72</v>
      </c>
      <c r="D90" s="45">
        <f>+D91</f>
        <v>7700000</v>
      </c>
      <c r="E90" s="45">
        <f t="shared" si="22"/>
        <v>7500000</v>
      </c>
      <c r="F90" s="45">
        <f t="shared" si="22"/>
        <v>7500000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109"/>
      <c r="V90" s="3"/>
      <c r="W90" s="3"/>
      <c r="X90" s="3"/>
      <c r="Y90" s="3"/>
      <c r="AB90" s="5"/>
      <c r="AC90" s="5"/>
      <c r="AD90" s="5"/>
      <c r="AE90" s="5"/>
      <c r="AF90" s="5"/>
      <c r="AG90" s="5"/>
      <c r="AH90" s="3"/>
      <c r="AI90" s="3"/>
      <c r="AJ90" s="3"/>
      <c r="AK90" s="3"/>
      <c r="AL90" s="3"/>
      <c r="AM90" s="3"/>
      <c r="AN90" s="3"/>
      <c r="AO90" s="3"/>
      <c r="AP90" s="3"/>
      <c r="AQ90" s="6"/>
      <c r="AR90" s="6"/>
      <c r="AS90" s="3"/>
      <c r="AT90" s="3"/>
      <c r="AU90" s="3"/>
      <c r="AV90" s="3"/>
      <c r="BL90" s="3"/>
      <c r="BM90" s="3"/>
    </row>
    <row r="91" spans="1:65" s="4" customFormat="1" ht="83.4" hidden="1" customHeight="1" x14ac:dyDescent="0.25">
      <c r="A91" s="93" t="s">
        <v>73</v>
      </c>
      <c r="B91" s="13" t="s">
        <v>5</v>
      </c>
      <c r="C91" s="14" t="s">
        <v>74</v>
      </c>
      <c r="D91" s="45">
        <f>+D92+D93</f>
        <v>7700000</v>
      </c>
      <c r="E91" s="45">
        <f t="shared" ref="E91:F91" si="23">+E92+E93</f>
        <v>7500000</v>
      </c>
      <c r="F91" s="45">
        <f t="shared" si="23"/>
        <v>7500000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09"/>
      <c r="V91" s="3"/>
      <c r="W91" s="3"/>
      <c r="X91" s="3"/>
      <c r="Y91" s="3"/>
      <c r="AB91" s="5"/>
      <c r="AC91" s="5"/>
      <c r="AD91" s="5"/>
      <c r="AE91" s="5"/>
      <c r="AF91" s="5"/>
      <c r="AG91" s="5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BL91" s="3"/>
      <c r="BM91" s="3"/>
    </row>
    <row r="92" spans="1:65" s="4" customFormat="1" ht="85.95" hidden="1" customHeight="1" x14ac:dyDescent="0.25">
      <c r="A92" s="93" t="s">
        <v>287</v>
      </c>
      <c r="B92" s="13" t="s">
        <v>57</v>
      </c>
      <c r="C92" s="14" t="s">
        <v>75</v>
      </c>
      <c r="D92" s="45">
        <v>7000000</v>
      </c>
      <c r="E92" s="45">
        <v>7000000</v>
      </c>
      <c r="F92" s="45">
        <v>7000000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09"/>
      <c r="V92" s="3"/>
      <c r="W92" s="3"/>
      <c r="X92" s="3"/>
      <c r="Y92" s="3"/>
      <c r="AB92" s="5"/>
      <c r="AC92" s="5"/>
      <c r="AD92" s="5"/>
      <c r="AE92" s="5"/>
      <c r="AF92" s="5"/>
      <c r="AG92" s="5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BL92" s="3"/>
      <c r="BM92" s="3"/>
    </row>
    <row r="93" spans="1:65" s="4" customFormat="1" ht="84" hidden="1" customHeight="1" x14ac:dyDescent="0.25">
      <c r="A93" s="93" t="s">
        <v>76</v>
      </c>
      <c r="B93" s="13" t="s">
        <v>57</v>
      </c>
      <c r="C93" s="14" t="s">
        <v>77</v>
      </c>
      <c r="D93" s="45">
        <f>350000+150000+200000</f>
        <v>700000</v>
      </c>
      <c r="E93" s="45">
        <f t="shared" ref="E93:F93" si="24">350000+150000</f>
        <v>500000</v>
      </c>
      <c r="F93" s="45">
        <f t="shared" si="24"/>
        <v>500000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109"/>
      <c r="V93" s="3"/>
      <c r="W93" s="3"/>
      <c r="X93" s="3"/>
      <c r="Y93" s="3"/>
      <c r="AB93" s="5"/>
      <c r="AC93" s="5"/>
      <c r="AD93" s="5"/>
      <c r="AE93" s="5"/>
      <c r="AF93" s="5"/>
      <c r="AG93" s="5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BL93" s="3"/>
      <c r="BM93" s="3"/>
    </row>
    <row r="94" spans="1:65" s="4" customFormat="1" ht="94.2" customHeight="1" x14ac:dyDescent="0.25">
      <c r="A94" s="93" t="s">
        <v>202</v>
      </c>
      <c r="B94" s="13" t="s">
        <v>5</v>
      </c>
      <c r="C94" s="14" t="s">
        <v>313</v>
      </c>
      <c r="D94" s="45">
        <f>+D95</f>
        <v>16053041</v>
      </c>
      <c r="E94" s="45">
        <f t="shared" ref="E94:F94" si="25">+E95</f>
        <v>14685428</v>
      </c>
      <c r="F94" s="45">
        <f t="shared" si="25"/>
        <v>15287530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109"/>
      <c r="V94" s="3"/>
      <c r="W94" s="3"/>
      <c r="X94" s="3"/>
      <c r="Y94" s="3"/>
      <c r="AB94" s="5"/>
      <c r="AC94" s="5"/>
      <c r="AD94" s="5"/>
      <c r="AE94" s="5"/>
      <c r="AF94" s="5"/>
      <c r="AG94" s="5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BL94" s="3"/>
      <c r="BM94" s="3"/>
    </row>
    <row r="95" spans="1:65" s="4" customFormat="1" ht="85.95" hidden="1" customHeight="1" x14ac:dyDescent="0.25">
      <c r="A95" s="93" t="s">
        <v>203</v>
      </c>
      <c r="B95" s="13" t="s">
        <v>5</v>
      </c>
      <c r="C95" s="14" t="s">
        <v>218</v>
      </c>
      <c r="D95" s="45">
        <f>+D96+D100+D103</f>
        <v>16053041</v>
      </c>
      <c r="E95" s="45">
        <f>+E96+E100+E103</f>
        <v>14685428</v>
      </c>
      <c r="F95" s="45">
        <f>+F96+F100+F103</f>
        <v>15287530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109"/>
      <c r="V95" s="3"/>
      <c r="W95" s="3"/>
      <c r="X95" s="3"/>
      <c r="Y95" s="3"/>
      <c r="AB95" s="5"/>
      <c r="AC95" s="5"/>
      <c r="AD95" s="5"/>
      <c r="AE95" s="5"/>
      <c r="AF95" s="5"/>
      <c r="AG95" s="5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BL95" s="3"/>
      <c r="BM95" s="3"/>
    </row>
    <row r="96" spans="1:65" s="4" customFormat="1" ht="84.6" hidden="1" customHeight="1" x14ac:dyDescent="0.25">
      <c r="A96" s="93" t="s">
        <v>203</v>
      </c>
      <c r="B96" s="13" t="s">
        <v>5</v>
      </c>
      <c r="C96" s="14" t="s">
        <v>206</v>
      </c>
      <c r="D96" s="45">
        <f>+D97+D98+D99</f>
        <v>7583918.9999999991</v>
      </c>
      <c r="E96" s="45">
        <f t="shared" ref="E96:F96" si="26">+E97+E98+E99</f>
        <v>6880195</v>
      </c>
      <c r="F96" s="45">
        <f t="shared" si="26"/>
        <v>7162283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109"/>
      <c r="V96" s="3"/>
      <c r="W96" s="3"/>
      <c r="X96" s="3"/>
      <c r="Y96" s="3"/>
      <c r="AB96" s="5"/>
      <c r="AC96" s="5"/>
      <c r="AD96" s="5"/>
      <c r="AE96" s="5"/>
      <c r="AF96" s="5"/>
      <c r="AG96" s="5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BL96" s="3"/>
      <c r="BM96" s="3"/>
    </row>
    <row r="97" spans="1:65" s="4" customFormat="1" ht="105.6" hidden="1" x14ac:dyDescent="0.25">
      <c r="A97" s="56" t="s">
        <v>362</v>
      </c>
      <c r="B97" s="13" t="s">
        <v>55</v>
      </c>
      <c r="C97" s="14" t="s">
        <v>204</v>
      </c>
      <c r="D97" s="45">
        <f>6583919+933426.44</f>
        <v>7517345.4399999995</v>
      </c>
      <c r="E97" s="45">
        <v>6880195</v>
      </c>
      <c r="F97" s="45">
        <v>7162283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109"/>
      <c r="V97" s="3"/>
      <c r="W97" s="3"/>
      <c r="X97" s="3"/>
      <c r="Y97" s="3"/>
      <c r="AB97" s="5"/>
      <c r="AC97" s="5"/>
      <c r="AD97" s="5"/>
      <c r="AE97" s="5"/>
      <c r="AF97" s="5"/>
      <c r="AG97" s="5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BL97" s="3"/>
      <c r="BM97" s="3"/>
    </row>
    <row r="98" spans="1:65" s="4" customFormat="1" ht="105.6" hidden="1" x14ac:dyDescent="0.25">
      <c r="A98" s="140" t="s">
        <v>501</v>
      </c>
      <c r="B98" s="13" t="s">
        <v>55</v>
      </c>
      <c r="C98" s="14" t="s">
        <v>474</v>
      </c>
      <c r="D98" s="45">
        <v>40000</v>
      </c>
      <c r="E98" s="45">
        <v>0</v>
      </c>
      <c r="F98" s="45">
        <v>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109"/>
      <c r="V98" s="3"/>
      <c r="W98" s="3"/>
      <c r="X98" s="3"/>
      <c r="Y98" s="3"/>
      <c r="AB98" s="5"/>
      <c r="AC98" s="5"/>
      <c r="AD98" s="5"/>
      <c r="AE98" s="5"/>
      <c r="AF98" s="5"/>
      <c r="AG98" s="5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BL98" s="3"/>
      <c r="BM98" s="3"/>
    </row>
    <row r="99" spans="1:65" s="4" customFormat="1" ht="118.8" hidden="1" x14ac:dyDescent="0.25">
      <c r="A99" s="140" t="s">
        <v>502</v>
      </c>
      <c r="B99" s="13" t="s">
        <v>55</v>
      </c>
      <c r="C99" s="14" t="s">
        <v>475</v>
      </c>
      <c r="D99" s="45">
        <v>26573.56</v>
      </c>
      <c r="E99" s="45">
        <v>0</v>
      </c>
      <c r="F99" s="45">
        <v>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109"/>
      <c r="V99" s="3"/>
      <c r="W99" s="3"/>
      <c r="X99" s="3"/>
      <c r="Y99" s="3"/>
      <c r="AB99" s="5"/>
      <c r="AC99" s="5"/>
      <c r="AD99" s="5"/>
      <c r="AE99" s="5"/>
      <c r="AF99" s="5"/>
      <c r="AG99" s="5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BL99" s="3"/>
      <c r="BM99" s="3"/>
    </row>
    <row r="100" spans="1:65" s="4" customFormat="1" ht="89.4" hidden="1" customHeight="1" x14ac:dyDescent="0.25">
      <c r="A100" s="93" t="s">
        <v>203</v>
      </c>
      <c r="B100" s="13" t="s">
        <v>5</v>
      </c>
      <c r="C100" s="14" t="s">
        <v>207</v>
      </c>
      <c r="D100" s="45">
        <f>+D101+D102</f>
        <v>3190154</v>
      </c>
      <c r="E100" s="45">
        <f t="shared" ref="E100:F100" si="27">+E101+E102</f>
        <v>2288711</v>
      </c>
      <c r="F100" s="45">
        <f t="shared" si="27"/>
        <v>2382548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109"/>
      <c r="V100" s="3"/>
      <c r="W100" s="3"/>
      <c r="X100" s="3"/>
      <c r="Y100" s="3"/>
      <c r="AB100" s="5"/>
      <c r="AC100" s="5"/>
      <c r="AD100" s="5"/>
      <c r="AE100" s="5"/>
      <c r="AF100" s="5"/>
      <c r="AG100" s="5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BL100" s="3"/>
      <c r="BM100" s="3"/>
    </row>
    <row r="101" spans="1:65" s="4" customFormat="1" ht="118.8" hidden="1" x14ac:dyDescent="0.25">
      <c r="A101" s="56" t="s">
        <v>283</v>
      </c>
      <c r="B101" s="13" t="s">
        <v>55</v>
      </c>
      <c r="C101" s="14" t="s">
        <v>205</v>
      </c>
      <c r="D101" s="45">
        <f>2190154+991000</f>
        <v>3181154</v>
      </c>
      <c r="E101" s="45">
        <v>2288711</v>
      </c>
      <c r="F101" s="45">
        <v>2382548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109"/>
      <c r="V101" s="3"/>
      <c r="W101" s="3"/>
      <c r="X101" s="3"/>
      <c r="Y101" s="3"/>
      <c r="AB101" s="5"/>
      <c r="AC101" s="5"/>
      <c r="AD101" s="5"/>
      <c r="AE101" s="5"/>
      <c r="AF101" s="5"/>
      <c r="AG101" s="5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BL101" s="3"/>
      <c r="BM101" s="3"/>
    </row>
    <row r="102" spans="1:65" s="4" customFormat="1" ht="118.8" hidden="1" x14ac:dyDescent="0.25">
      <c r="A102" s="140" t="s">
        <v>503</v>
      </c>
      <c r="B102" s="13" t="s">
        <v>55</v>
      </c>
      <c r="C102" s="14" t="s">
        <v>476</v>
      </c>
      <c r="D102" s="45">
        <v>9000</v>
      </c>
      <c r="E102" s="45">
        <v>0</v>
      </c>
      <c r="F102" s="45">
        <v>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109"/>
      <c r="V102" s="3"/>
      <c r="W102" s="3"/>
      <c r="X102" s="3"/>
      <c r="Y102" s="3"/>
      <c r="AB102" s="5"/>
      <c r="AC102" s="5"/>
      <c r="AD102" s="5"/>
      <c r="AE102" s="5"/>
      <c r="AF102" s="5"/>
      <c r="AG102" s="5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BL102" s="3"/>
      <c r="BM102" s="3"/>
    </row>
    <row r="103" spans="1:65" s="4" customFormat="1" ht="81" hidden="1" customHeight="1" x14ac:dyDescent="0.25">
      <c r="A103" s="56" t="s">
        <v>203</v>
      </c>
      <c r="B103" s="13" t="s">
        <v>5</v>
      </c>
      <c r="C103" s="53" t="s">
        <v>208</v>
      </c>
      <c r="D103" s="45">
        <f>+D104+D105</f>
        <v>5278968</v>
      </c>
      <c r="E103" s="45">
        <f t="shared" ref="E103:F103" si="28">+E104+E105</f>
        <v>5516522</v>
      </c>
      <c r="F103" s="45">
        <f t="shared" si="28"/>
        <v>5742699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109"/>
      <c r="V103" s="3"/>
      <c r="W103" s="3"/>
      <c r="X103" s="3"/>
      <c r="Y103" s="3"/>
      <c r="AB103" s="5"/>
      <c r="AC103" s="5"/>
      <c r="AD103" s="5"/>
      <c r="AE103" s="5"/>
      <c r="AF103" s="5"/>
      <c r="AG103" s="5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BL103" s="3"/>
      <c r="BM103" s="3"/>
    </row>
    <row r="104" spans="1:65" s="4" customFormat="1" ht="92.4" hidden="1" x14ac:dyDescent="0.25">
      <c r="A104" s="56" t="s">
        <v>284</v>
      </c>
      <c r="B104" s="13" t="s">
        <v>55</v>
      </c>
      <c r="C104" s="53" t="s">
        <v>209</v>
      </c>
      <c r="D104" s="45">
        <f>5278968-107000</f>
        <v>5171968</v>
      </c>
      <c r="E104" s="45">
        <v>5516522</v>
      </c>
      <c r="F104" s="45">
        <v>5742699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109"/>
      <c r="V104" s="3"/>
      <c r="W104" s="3"/>
      <c r="X104" s="3"/>
      <c r="Y104" s="3"/>
      <c r="AB104" s="5"/>
      <c r="AC104" s="5"/>
      <c r="AD104" s="5"/>
      <c r="AE104" s="5"/>
      <c r="AF104" s="5"/>
      <c r="AG104" s="5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BL104" s="3"/>
      <c r="BM104" s="3"/>
    </row>
    <row r="105" spans="1:65" s="4" customFormat="1" ht="94.2" hidden="1" customHeight="1" x14ac:dyDescent="0.25">
      <c r="A105" s="140" t="s">
        <v>504</v>
      </c>
      <c r="B105" s="13" t="s">
        <v>55</v>
      </c>
      <c r="C105" s="53" t="s">
        <v>477</v>
      </c>
      <c r="D105" s="45">
        <v>107000</v>
      </c>
      <c r="E105" s="45">
        <v>0</v>
      </c>
      <c r="F105" s="45">
        <v>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109"/>
      <c r="V105" s="3"/>
      <c r="W105" s="3"/>
      <c r="X105" s="3"/>
      <c r="Y105" s="3"/>
      <c r="AB105" s="5"/>
      <c r="AC105" s="5"/>
      <c r="AD105" s="5"/>
      <c r="AE105" s="5"/>
      <c r="AF105" s="5"/>
      <c r="AG105" s="5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BL105" s="3"/>
      <c r="BM105" s="3"/>
    </row>
    <row r="106" spans="1:65" s="4" customFormat="1" ht="30.6" customHeight="1" x14ac:dyDescent="0.25">
      <c r="A106" s="83" t="s">
        <v>78</v>
      </c>
      <c r="B106" s="84" t="s">
        <v>5</v>
      </c>
      <c r="C106" s="85" t="s">
        <v>314</v>
      </c>
      <c r="D106" s="86">
        <f>+D107+D112</f>
        <v>26692875</v>
      </c>
      <c r="E106" s="86">
        <f t="shared" ref="E106:F106" si="29">+E107+E112</f>
        <v>27760072.479999997</v>
      </c>
      <c r="F106" s="86">
        <f t="shared" si="29"/>
        <v>28848811.540000003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109"/>
      <c r="V106" s="3"/>
      <c r="W106" s="3"/>
      <c r="X106" s="3"/>
      <c r="Y106" s="3"/>
      <c r="AB106" s="5"/>
      <c r="AC106" s="5"/>
      <c r="AD106" s="5"/>
      <c r="AE106" s="5"/>
      <c r="AF106" s="5"/>
      <c r="AG106" s="5"/>
      <c r="AH106" s="3"/>
      <c r="AI106" s="3"/>
      <c r="AJ106" s="3"/>
      <c r="AK106" s="3"/>
      <c r="AL106" s="3"/>
      <c r="AM106" s="3"/>
      <c r="AN106" s="3"/>
      <c r="AO106" s="3"/>
      <c r="AP106" s="3"/>
      <c r="AQ106" s="6"/>
      <c r="AR106" s="6"/>
      <c r="AS106" s="3"/>
      <c r="AT106" s="3"/>
      <c r="AU106" s="3"/>
      <c r="AV106" s="3"/>
      <c r="BL106" s="3"/>
      <c r="BM106" s="3"/>
    </row>
    <row r="107" spans="1:65" s="4" customFormat="1" ht="16.95" customHeight="1" x14ac:dyDescent="0.25">
      <c r="A107" s="74" t="s">
        <v>79</v>
      </c>
      <c r="B107" s="84" t="s">
        <v>5</v>
      </c>
      <c r="C107" s="85" t="s">
        <v>315</v>
      </c>
      <c r="D107" s="92">
        <f>+D108+D109+D110</f>
        <v>26171612</v>
      </c>
      <c r="E107" s="92">
        <f t="shared" ref="E107:F107" si="30">+E108+E109+E110</f>
        <v>27218476.479999997</v>
      </c>
      <c r="F107" s="92">
        <f t="shared" si="30"/>
        <v>28307215.540000003</v>
      </c>
      <c r="G107" s="3"/>
      <c r="H107" s="3"/>
      <c r="I107" s="3"/>
      <c r="J107" s="3"/>
      <c r="K107" s="124"/>
      <c r="L107" s="3"/>
      <c r="M107" s="3"/>
      <c r="N107" s="3"/>
      <c r="O107" s="3"/>
      <c r="P107" s="3"/>
      <c r="Q107" s="3"/>
      <c r="R107" s="3"/>
      <c r="S107" s="3"/>
      <c r="T107" s="3"/>
      <c r="U107" s="109"/>
      <c r="V107" s="3"/>
      <c r="W107" s="3"/>
      <c r="X107" s="3"/>
      <c r="Y107" s="3"/>
      <c r="AB107" s="5"/>
      <c r="AC107" s="5"/>
      <c r="AD107" s="5"/>
      <c r="AE107" s="5"/>
      <c r="AF107" s="5"/>
      <c r="AG107" s="5"/>
      <c r="AH107" s="3"/>
      <c r="AI107" s="3"/>
      <c r="AJ107" s="3"/>
      <c r="AK107" s="3"/>
      <c r="AL107" s="132"/>
      <c r="AM107" s="3"/>
      <c r="AN107" s="3"/>
      <c r="AO107" s="3"/>
      <c r="AP107" s="3"/>
      <c r="AQ107" s="124"/>
      <c r="AR107" s="6"/>
      <c r="AS107" s="3"/>
      <c r="AT107" s="3"/>
      <c r="AU107" s="3"/>
      <c r="AV107" s="3"/>
      <c r="BL107" s="3"/>
      <c r="BM107" s="3"/>
    </row>
    <row r="108" spans="1:65" s="4" customFormat="1" ht="28.2" hidden="1" customHeight="1" x14ac:dyDescent="0.25">
      <c r="A108" s="74" t="s">
        <v>363</v>
      </c>
      <c r="B108" s="84" t="s">
        <v>80</v>
      </c>
      <c r="C108" s="85" t="s">
        <v>81</v>
      </c>
      <c r="D108" s="86">
        <v>3523122</v>
      </c>
      <c r="E108" s="86">
        <v>3664046.88</v>
      </c>
      <c r="F108" s="86">
        <v>3810608.76</v>
      </c>
      <c r="G108" s="21"/>
      <c r="H108" s="21"/>
      <c r="I108" s="21"/>
      <c r="J108" s="21"/>
      <c r="K108" s="124"/>
      <c r="L108" s="3"/>
      <c r="M108" s="3"/>
      <c r="N108" s="3"/>
      <c r="O108" s="3"/>
      <c r="P108" s="3"/>
      <c r="Q108" s="3"/>
      <c r="R108" s="3"/>
      <c r="S108" s="3"/>
      <c r="T108" s="3"/>
      <c r="U108" s="109"/>
      <c r="V108" s="3"/>
      <c r="W108" s="3"/>
      <c r="X108" s="3"/>
      <c r="Y108" s="3"/>
      <c r="AB108" s="5"/>
      <c r="AC108" s="5"/>
      <c r="AD108" s="5"/>
      <c r="AE108" s="5"/>
      <c r="AF108" s="5"/>
      <c r="AG108" s="5"/>
      <c r="AH108" s="3"/>
      <c r="AI108" s="3"/>
      <c r="AJ108" s="3"/>
      <c r="AK108" s="3"/>
      <c r="AL108" s="132"/>
      <c r="AM108" s="21"/>
      <c r="AN108" s="21"/>
      <c r="AO108" s="21"/>
      <c r="AP108" s="21"/>
      <c r="AQ108" s="124"/>
      <c r="AR108" s="6"/>
      <c r="AS108" s="3"/>
      <c r="AT108" s="3"/>
      <c r="AU108" s="3"/>
      <c r="AV108" s="3"/>
      <c r="BL108" s="47"/>
      <c r="BM108" s="3"/>
    </row>
    <row r="109" spans="1:65" s="4" customFormat="1" hidden="1" x14ac:dyDescent="0.25">
      <c r="A109" s="74" t="s">
        <v>82</v>
      </c>
      <c r="B109" s="84" t="s">
        <v>80</v>
      </c>
      <c r="C109" s="85" t="s">
        <v>83</v>
      </c>
      <c r="D109" s="86">
        <v>21176680</v>
      </c>
      <c r="E109" s="86">
        <v>22023747.199999999</v>
      </c>
      <c r="F109" s="86">
        <v>22904697.09</v>
      </c>
      <c r="G109" s="21"/>
      <c r="H109" s="21"/>
      <c r="I109" s="21"/>
      <c r="J109" s="21"/>
      <c r="K109" s="124"/>
      <c r="L109" s="3"/>
      <c r="M109" s="3"/>
      <c r="N109" s="3"/>
      <c r="O109" s="3"/>
      <c r="P109" s="3"/>
      <c r="Q109" s="3"/>
      <c r="R109" s="3"/>
      <c r="S109" s="3"/>
      <c r="T109" s="3"/>
      <c r="U109" s="109"/>
      <c r="V109" s="3"/>
      <c r="W109" s="3"/>
      <c r="X109" s="3"/>
      <c r="Y109" s="3"/>
      <c r="AB109" s="5"/>
      <c r="AC109" s="5"/>
      <c r="AD109" s="5"/>
      <c r="AE109" s="5"/>
      <c r="AF109" s="5"/>
      <c r="AG109" s="5"/>
      <c r="AH109" s="3"/>
      <c r="AI109" s="3"/>
      <c r="AJ109" s="3"/>
      <c r="AK109" s="3"/>
      <c r="AL109" s="132"/>
      <c r="AM109" s="21"/>
      <c r="AN109" s="21"/>
      <c r="AO109" s="21"/>
      <c r="AP109" s="21"/>
      <c r="AQ109" s="124"/>
      <c r="AR109" s="6"/>
      <c r="AS109" s="3"/>
      <c r="AT109" s="3"/>
      <c r="AU109" s="3"/>
      <c r="AV109" s="3"/>
      <c r="BL109" s="47"/>
      <c r="BM109" s="3"/>
    </row>
    <row r="110" spans="1:65" s="4" customFormat="1" hidden="1" x14ac:dyDescent="0.25">
      <c r="A110" s="74" t="s">
        <v>84</v>
      </c>
      <c r="B110" s="84" t="s">
        <v>5</v>
      </c>
      <c r="C110" s="85" t="s">
        <v>85</v>
      </c>
      <c r="D110" s="86">
        <f>+D111</f>
        <v>1471810</v>
      </c>
      <c r="E110" s="86">
        <f t="shared" ref="E110:F110" si="31">+E111</f>
        <v>1530682.4</v>
      </c>
      <c r="F110" s="86">
        <f t="shared" si="31"/>
        <v>1591909.69</v>
      </c>
      <c r="G110" s="21"/>
      <c r="H110" s="21"/>
      <c r="I110" s="21"/>
      <c r="J110" s="21"/>
      <c r="K110" s="124"/>
      <c r="L110" s="3"/>
      <c r="M110" s="3"/>
      <c r="N110" s="3"/>
      <c r="O110" s="3"/>
      <c r="P110" s="3"/>
      <c r="Q110" s="3"/>
      <c r="R110" s="3"/>
      <c r="S110" s="3"/>
      <c r="T110" s="3"/>
      <c r="U110" s="109"/>
      <c r="V110" s="3"/>
      <c r="W110" s="3"/>
      <c r="X110" s="3"/>
      <c r="Y110" s="3"/>
      <c r="AB110" s="5"/>
      <c r="AC110" s="5"/>
      <c r="AD110" s="5"/>
      <c r="AE110" s="5"/>
      <c r="AF110" s="5"/>
      <c r="AG110" s="5"/>
      <c r="AH110" s="3"/>
      <c r="AI110" s="3"/>
      <c r="AJ110" s="3"/>
      <c r="AK110" s="3"/>
      <c r="AL110" s="132"/>
      <c r="AM110" s="21"/>
      <c r="AN110" s="21"/>
      <c r="AO110" s="21"/>
      <c r="AP110" s="21"/>
      <c r="AQ110" s="124"/>
      <c r="AR110" s="6"/>
      <c r="AS110" s="3"/>
      <c r="AT110" s="3"/>
      <c r="AU110" s="3"/>
      <c r="AV110" s="3"/>
      <c r="BL110" s="3"/>
      <c r="BM110" s="3"/>
    </row>
    <row r="111" spans="1:65" s="4" customFormat="1" hidden="1" x14ac:dyDescent="0.25">
      <c r="A111" s="56" t="s">
        <v>86</v>
      </c>
      <c r="B111" s="13" t="s">
        <v>80</v>
      </c>
      <c r="C111" s="14" t="s">
        <v>87</v>
      </c>
      <c r="D111" s="45">
        <v>1471810</v>
      </c>
      <c r="E111" s="45">
        <v>1530682.4</v>
      </c>
      <c r="F111" s="45">
        <v>1591909.69</v>
      </c>
      <c r="G111" s="21"/>
      <c r="H111" s="21"/>
      <c r="I111" s="21"/>
      <c r="J111" s="21"/>
      <c r="K111" s="124"/>
      <c r="L111" s="3"/>
      <c r="M111" s="3"/>
      <c r="N111" s="3"/>
      <c r="O111" s="3"/>
      <c r="P111" s="3"/>
      <c r="Q111" s="3"/>
      <c r="R111" s="3"/>
      <c r="S111" s="3"/>
      <c r="T111" s="3"/>
      <c r="U111" s="109"/>
      <c r="V111" s="3"/>
      <c r="W111" s="3"/>
      <c r="X111" s="3"/>
      <c r="Y111" s="3"/>
      <c r="AB111" s="5"/>
      <c r="AC111" s="5"/>
      <c r="AD111" s="5"/>
      <c r="AE111" s="5"/>
      <c r="AF111" s="5"/>
      <c r="AG111" s="5"/>
      <c r="AH111" s="3"/>
      <c r="AI111" s="3"/>
      <c r="AJ111" s="3"/>
      <c r="AK111" s="3"/>
      <c r="AL111" s="132"/>
      <c r="AM111" s="21"/>
      <c r="AN111" s="21"/>
      <c r="AO111" s="21"/>
      <c r="AP111" s="21"/>
      <c r="AQ111" s="124"/>
      <c r="AR111" s="6"/>
      <c r="AS111" s="3"/>
      <c r="AT111" s="3"/>
      <c r="AU111" s="3"/>
      <c r="AV111" s="3"/>
      <c r="BL111" s="47"/>
      <c r="BM111" s="3"/>
    </row>
    <row r="112" spans="1:65" s="4" customFormat="1" ht="15.6" customHeight="1" x14ac:dyDescent="0.25">
      <c r="A112" s="56" t="s">
        <v>88</v>
      </c>
      <c r="B112" s="13" t="s">
        <v>5</v>
      </c>
      <c r="C112" s="14" t="s">
        <v>316</v>
      </c>
      <c r="D112" s="45">
        <f>+D113</f>
        <v>521263</v>
      </c>
      <c r="E112" s="45">
        <f t="shared" ref="E112:F112" si="32">+E113</f>
        <v>541596</v>
      </c>
      <c r="F112" s="45">
        <f t="shared" si="32"/>
        <v>541596</v>
      </c>
      <c r="G112" s="21"/>
      <c r="H112" s="21"/>
      <c r="I112" s="21"/>
      <c r="J112" s="21"/>
      <c r="K112" s="124"/>
      <c r="L112" s="3"/>
      <c r="M112" s="3"/>
      <c r="N112" s="3"/>
      <c r="O112" s="3"/>
      <c r="P112" s="3"/>
      <c r="Q112" s="3"/>
      <c r="R112" s="3"/>
      <c r="S112" s="3"/>
      <c r="T112" s="3"/>
      <c r="U112" s="109"/>
      <c r="V112" s="3"/>
      <c r="W112" s="3"/>
      <c r="X112" s="3"/>
      <c r="Y112" s="3"/>
      <c r="AB112" s="5"/>
      <c r="AC112" s="5"/>
      <c r="AD112" s="5"/>
      <c r="AE112" s="5"/>
      <c r="AF112" s="5"/>
      <c r="AG112" s="5"/>
      <c r="AH112" s="3"/>
      <c r="AI112" s="3"/>
      <c r="AJ112" s="3"/>
      <c r="AK112" s="3"/>
      <c r="AL112" s="3"/>
      <c r="AM112" s="21"/>
      <c r="AN112" s="21"/>
      <c r="AO112" s="21"/>
      <c r="AP112" s="21"/>
      <c r="AQ112" s="124"/>
      <c r="AR112" s="6"/>
      <c r="AS112" s="3"/>
      <c r="AT112" s="3"/>
      <c r="AU112" s="3"/>
      <c r="AV112" s="3"/>
      <c r="BL112" s="3"/>
      <c r="BM112" s="3"/>
    </row>
    <row r="113" spans="1:65" s="4" customFormat="1" ht="30" hidden="1" customHeight="1" x14ac:dyDescent="0.25">
      <c r="A113" s="56" t="s">
        <v>89</v>
      </c>
      <c r="B113" s="13" t="s">
        <v>5</v>
      </c>
      <c r="C113" s="14" t="s">
        <v>90</v>
      </c>
      <c r="D113" s="45">
        <f>+D114+D115</f>
        <v>521263</v>
      </c>
      <c r="E113" s="45">
        <f t="shared" ref="E113:F113" si="33">+E114+E115</f>
        <v>541596</v>
      </c>
      <c r="F113" s="45">
        <f t="shared" si="33"/>
        <v>541596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109"/>
      <c r="V113" s="3"/>
      <c r="W113" s="3"/>
      <c r="X113" s="3"/>
      <c r="Y113" s="3"/>
      <c r="AB113" s="5"/>
      <c r="AC113" s="5"/>
      <c r="AD113" s="5"/>
      <c r="AE113" s="5"/>
      <c r="AF113" s="5"/>
      <c r="AG113" s="5"/>
      <c r="AH113" s="3"/>
      <c r="AI113" s="3"/>
      <c r="AJ113" s="3"/>
      <c r="AK113" s="3"/>
      <c r="AL113" s="3"/>
      <c r="AM113" s="3"/>
      <c r="AN113" s="3"/>
      <c r="AO113" s="3"/>
      <c r="AP113" s="3"/>
      <c r="AQ113" s="6"/>
      <c r="AR113" s="6"/>
      <c r="AS113" s="3"/>
      <c r="AT113" s="3"/>
      <c r="AU113" s="3"/>
      <c r="AV113" s="3"/>
      <c r="BL113" s="3"/>
      <c r="BM113" s="3"/>
    </row>
    <row r="114" spans="1:65" s="4" customFormat="1" ht="45" hidden="1" customHeight="1" x14ac:dyDescent="0.25">
      <c r="A114" s="56" t="s">
        <v>505</v>
      </c>
      <c r="B114" s="13" t="s">
        <v>55</v>
      </c>
      <c r="C114" s="14" t="s">
        <v>91</v>
      </c>
      <c r="D114" s="45">
        <f>521263-479.49</f>
        <v>520783.51</v>
      </c>
      <c r="E114" s="45">
        <v>541596</v>
      </c>
      <c r="F114" s="45">
        <v>541596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109"/>
      <c r="V114" s="3"/>
      <c r="W114" s="3"/>
      <c r="X114" s="3"/>
      <c r="Y114" s="3"/>
      <c r="AB114" s="5"/>
      <c r="AC114" s="5"/>
      <c r="AD114" s="5"/>
      <c r="AE114" s="5"/>
      <c r="AF114" s="5"/>
      <c r="AG114" s="5"/>
      <c r="AH114" s="3"/>
      <c r="AI114" s="3"/>
      <c r="AJ114" s="3"/>
      <c r="AK114" s="3"/>
      <c r="AL114" s="3"/>
      <c r="AM114" s="3"/>
      <c r="AN114" s="3"/>
      <c r="AO114" s="3"/>
      <c r="AP114" s="3"/>
      <c r="AQ114" s="6"/>
      <c r="AR114" s="6"/>
      <c r="AS114" s="3"/>
      <c r="AT114" s="3"/>
      <c r="AU114" s="3"/>
      <c r="AV114" s="3"/>
      <c r="BL114" s="3"/>
      <c r="BM114" s="3"/>
    </row>
    <row r="115" spans="1:65" s="4" customFormat="1" ht="45" hidden="1" customHeight="1" x14ac:dyDescent="0.25">
      <c r="A115" s="140" t="s">
        <v>506</v>
      </c>
      <c r="B115" s="13" t="s">
        <v>55</v>
      </c>
      <c r="C115" s="14" t="s">
        <v>478</v>
      </c>
      <c r="D115" s="45">
        <v>479.49</v>
      </c>
      <c r="E115" s="45">
        <v>0</v>
      </c>
      <c r="F115" s="45">
        <v>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109"/>
      <c r="V115" s="3"/>
      <c r="W115" s="3"/>
      <c r="X115" s="3"/>
      <c r="Y115" s="3"/>
      <c r="AB115" s="5"/>
      <c r="AC115" s="5"/>
      <c r="AD115" s="5"/>
      <c r="AE115" s="5"/>
      <c r="AF115" s="5"/>
      <c r="AG115" s="5"/>
      <c r="AH115" s="3"/>
      <c r="AI115" s="3"/>
      <c r="AJ115" s="3"/>
      <c r="AK115" s="3"/>
      <c r="AL115" s="3"/>
      <c r="AM115" s="3"/>
      <c r="AN115" s="3"/>
      <c r="AO115" s="3"/>
      <c r="AP115" s="3"/>
      <c r="AQ115" s="6"/>
      <c r="AR115" s="6"/>
      <c r="AS115" s="3"/>
      <c r="AT115" s="3"/>
      <c r="AU115" s="3"/>
      <c r="AV115" s="3"/>
      <c r="BL115" s="3"/>
      <c r="BM115" s="3"/>
    </row>
    <row r="116" spans="1:65" s="20" customFormat="1" ht="29.4" customHeight="1" x14ac:dyDescent="0.25">
      <c r="A116" s="56" t="s">
        <v>92</v>
      </c>
      <c r="B116" s="13" t="s">
        <v>5</v>
      </c>
      <c r="C116" s="14" t="s">
        <v>317</v>
      </c>
      <c r="D116" s="45">
        <f>+D117+D121</f>
        <v>23957806.68</v>
      </c>
      <c r="E116" s="45">
        <f>+E117+E121</f>
        <v>1893877.03</v>
      </c>
      <c r="F116" s="45">
        <f>+F117+F121</f>
        <v>1925769.96</v>
      </c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3"/>
      <c r="T116" s="3"/>
      <c r="U116" s="109"/>
      <c r="V116" s="3"/>
      <c r="W116" s="3"/>
      <c r="X116" s="19"/>
      <c r="Y116" s="19"/>
      <c r="AB116" s="18"/>
      <c r="AC116" s="18"/>
      <c r="AD116" s="18"/>
      <c r="AE116" s="18"/>
      <c r="AF116" s="18"/>
      <c r="AG116" s="18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BL116" s="19"/>
      <c r="BM116" s="19"/>
    </row>
    <row r="117" spans="1:65" s="4" customFormat="1" ht="16.95" customHeight="1" x14ac:dyDescent="0.25">
      <c r="A117" s="56" t="s">
        <v>93</v>
      </c>
      <c r="B117" s="13" t="s">
        <v>5</v>
      </c>
      <c r="C117" s="14" t="s">
        <v>318</v>
      </c>
      <c r="D117" s="45">
        <f t="shared" ref="D117:F119" si="34">+D118</f>
        <v>51200</v>
      </c>
      <c r="E117" s="45">
        <f t="shared" si="34"/>
        <v>51200</v>
      </c>
      <c r="F117" s="45">
        <f t="shared" si="34"/>
        <v>51200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109"/>
      <c r="V117" s="3"/>
      <c r="W117" s="3"/>
      <c r="X117" s="3"/>
      <c r="Y117" s="3"/>
      <c r="AB117" s="5"/>
      <c r="AC117" s="5"/>
      <c r="AD117" s="5"/>
      <c r="AE117" s="5"/>
      <c r="AF117" s="5"/>
      <c r="AG117" s="5"/>
      <c r="AH117" s="3"/>
      <c r="AI117" s="3"/>
      <c r="AJ117" s="3"/>
      <c r="AK117" s="3"/>
      <c r="AL117" s="3"/>
      <c r="AM117" s="3"/>
      <c r="AN117" s="3"/>
      <c r="AO117" s="3"/>
      <c r="AP117" s="3"/>
      <c r="AQ117" s="6"/>
      <c r="AR117" s="6"/>
      <c r="AS117" s="3"/>
      <c r="AT117" s="3"/>
      <c r="AU117" s="3"/>
      <c r="AV117" s="3"/>
      <c r="BL117" s="3"/>
      <c r="BM117" s="3"/>
    </row>
    <row r="118" spans="1:65" s="4" customFormat="1" hidden="1" x14ac:dyDescent="0.25">
      <c r="A118" s="56" t="s">
        <v>94</v>
      </c>
      <c r="B118" s="13" t="s">
        <v>5</v>
      </c>
      <c r="C118" s="14" t="s">
        <v>95</v>
      </c>
      <c r="D118" s="45">
        <f t="shared" si="34"/>
        <v>51200</v>
      </c>
      <c r="E118" s="45">
        <f t="shared" si="34"/>
        <v>51200</v>
      </c>
      <c r="F118" s="45">
        <f t="shared" si="34"/>
        <v>51200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109"/>
      <c r="V118" s="3"/>
      <c r="W118" s="3"/>
      <c r="X118" s="3"/>
      <c r="Y118" s="3"/>
      <c r="AB118" s="5"/>
      <c r="AC118" s="5"/>
      <c r="AD118" s="5"/>
      <c r="AE118" s="5"/>
      <c r="AF118" s="5"/>
      <c r="AG118" s="5"/>
      <c r="AH118" s="3"/>
      <c r="AI118" s="3"/>
      <c r="AJ118" s="3"/>
      <c r="AK118" s="3"/>
      <c r="AL118" s="3"/>
      <c r="AM118" s="3"/>
      <c r="AN118" s="3"/>
      <c r="AO118" s="3"/>
      <c r="AP118" s="3"/>
      <c r="AQ118" s="6"/>
      <c r="AR118" s="6"/>
      <c r="AS118" s="3"/>
      <c r="AT118" s="3"/>
      <c r="AU118" s="3"/>
      <c r="AV118" s="3"/>
      <c r="BL118" s="3"/>
      <c r="BM118" s="3"/>
    </row>
    <row r="119" spans="1:65" s="4" customFormat="1" ht="26.4" hidden="1" x14ac:dyDescent="0.25">
      <c r="A119" s="56" t="s">
        <v>96</v>
      </c>
      <c r="B119" s="13" t="s">
        <v>5</v>
      </c>
      <c r="C119" s="53" t="s">
        <v>97</v>
      </c>
      <c r="D119" s="45">
        <f t="shared" si="34"/>
        <v>51200</v>
      </c>
      <c r="E119" s="45">
        <f t="shared" si="34"/>
        <v>51200</v>
      </c>
      <c r="F119" s="45">
        <f t="shared" si="34"/>
        <v>51200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109"/>
      <c r="V119" s="3"/>
      <c r="W119" s="3"/>
      <c r="X119" s="3"/>
      <c r="Y119" s="3"/>
      <c r="AB119" s="5"/>
      <c r="AC119" s="5"/>
      <c r="AD119" s="5"/>
      <c r="AE119" s="5"/>
      <c r="AF119" s="5"/>
      <c r="AG119" s="5"/>
      <c r="AH119" s="3"/>
      <c r="AI119" s="3"/>
      <c r="AJ119" s="3"/>
      <c r="AK119" s="3"/>
      <c r="AL119" s="3"/>
      <c r="AM119" s="3"/>
      <c r="AN119" s="3"/>
      <c r="AO119" s="3"/>
      <c r="AP119" s="3"/>
      <c r="AQ119" s="6"/>
      <c r="AR119" s="6"/>
      <c r="AS119" s="3"/>
      <c r="AT119" s="3"/>
      <c r="AU119" s="3"/>
      <c r="AV119" s="3"/>
      <c r="BL119" s="3"/>
      <c r="BM119" s="3"/>
    </row>
    <row r="120" spans="1:65" s="4" customFormat="1" ht="66" hidden="1" x14ac:dyDescent="0.25">
      <c r="A120" s="61" t="s">
        <v>241</v>
      </c>
      <c r="B120" s="13" t="s">
        <v>55</v>
      </c>
      <c r="C120" s="53" t="s">
        <v>98</v>
      </c>
      <c r="D120" s="45">
        <v>51200</v>
      </c>
      <c r="E120" s="45">
        <v>51200</v>
      </c>
      <c r="F120" s="45">
        <v>51200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109"/>
      <c r="V120" s="3"/>
      <c r="W120" s="3"/>
      <c r="X120" s="3"/>
      <c r="Y120" s="3"/>
      <c r="AB120" s="5"/>
      <c r="AC120" s="5"/>
      <c r="AD120" s="5"/>
      <c r="AE120" s="5"/>
      <c r="AF120" s="5"/>
      <c r="AG120" s="5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BL120" s="3"/>
      <c r="BM120" s="3"/>
    </row>
    <row r="121" spans="1:65" s="4" customFormat="1" ht="22.95" customHeight="1" x14ac:dyDescent="0.25">
      <c r="A121" s="74" t="s">
        <v>99</v>
      </c>
      <c r="B121" s="84" t="s">
        <v>5</v>
      </c>
      <c r="C121" s="85" t="s">
        <v>319</v>
      </c>
      <c r="D121" s="86">
        <f>+D122</f>
        <v>23906606.68</v>
      </c>
      <c r="E121" s="86">
        <f t="shared" ref="E121:F122" si="35">+E122</f>
        <v>1842677.03</v>
      </c>
      <c r="F121" s="86">
        <f t="shared" si="35"/>
        <v>1874569.96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109"/>
      <c r="V121" s="3"/>
      <c r="W121" s="3"/>
      <c r="X121" s="3"/>
      <c r="Y121" s="3"/>
      <c r="AB121" s="5"/>
      <c r="AC121" s="5"/>
      <c r="AD121" s="5"/>
      <c r="AE121" s="5"/>
      <c r="AF121" s="5"/>
      <c r="AG121" s="5"/>
      <c r="AH121" s="3"/>
      <c r="AI121" s="3"/>
      <c r="AJ121" s="3"/>
      <c r="AK121" s="3"/>
      <c r="AL121" s="3"/>
      <c r="AM121" s="3"/>
      <c r="AN121" s="3"/>
      <c r="AO121" s="3"/>
      <c r="AP121" s="3"/>
      <c r="AQ121" s="6"/>
      <c r="AR121" s="6"/>
      <c r="AS121" s="3"/>
      <c r="AT121" s="3"/>
      <c r="AU121" s="3"/>
      <c r="AV121" s="3"/>
      <c r="BL121" s="3"/>
      <c r="BM121" s="3"/>
    </row>
    <row r="122" spans="1:65" s="4" customFormat="1" ht="22.2" hidden="1" customHeight="1" x14ac:dyDescent="0.25">
      <c r="A122" s="74" t="s">
        <v>100</v>
      </c>
      <c r="B122" s="84" t="s">
        <v>5</v>
      </c>
      <c r="C122" s="85" t="s">
        <v>101</v>
      </c>
      <c r="D122" s="86">
        <f>+D123</f>
        <v>23906606.68</v>
      </c>
      <c r="E122" s="86">
        <f>+E123</f>
        <v>1842677.03</v>
      </c>
      <c r="F122" s="86">
        <f t="shared" si="35"/>
        <v>1874569.96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109"/>
      <c r="V122" s="3"/>
      <c r="W122" s="3"/>
      <c r="X122" s="3"/>
      <c r="Y122" s="3"/>
      <c r="AB122" s="5"/>
      <c r="AC122" s="5"/>
      <c r="AD122" s="5"/>
      <c r="AE122" s="5"/>
      <c r="AF122" s="5"/>
      <c r="AG122" s="5"/>
      <c r="AH122" s="3"/>
      <c r="AI122" s="3"/>
      <c r="AJ122" s="3"/>
      <c r="AK122" s="3"/>
      <c r="AL122" s="3"/>
      <c r="AM122" s="3"/>
      <c r="AN122" s="3"/>
      <c r="AO122" s="3"/>
      <c r="AP122" s="3"/>
      <c r="AQ122" s="6"/>
      <c r="AR122" s="6"/>
      <c r="AS122" s="3"/>
      <c r="AT122" s="3"/>
      <c r="AU122" s="3"/>
      <c r="AV122" s="3"/>
      <c r="BL122" s="3"/>
      <c r="BM122" s="3"/>
    </row>
    <row r="123" spans="1:65" s="4" customFormat="1" ht="34.200000000000003" hidden="1" customHeight="1" x14ac:dyDescent="0.25">
      <c r="A123" s="74" t="s">
        <v>102</v>
      </c>
      <c r="B123" s="84" t="s">
        <v>5</v>
      </c>
      <c r="C123" s="85" t="s">
        <v>103</v>
      </c>
      <c r="D123" s="86">
        <f>+D131+D132+D127+D124+D129+D130+D125+D128+D126</f>
        <v>23906606.68</v>
      </c>
      <c r="E123" s="86">
        <f t="shared" ref="E123:F123" si="36">+E131+E132+E127+E124+E129+E130+E125+E128+E126</f>
        <v>1842677.03</v>
      </c>
      <c r="F123" s="86">
        <f t="shared" si="36"/>
        <v>1874569.96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109"/>
      <c r="V123" s="3"/>
      <c r="W123" s="3"/>
      <c r="X123" s="3"/>
      <c r="Y123" s="3"/>
      <c r="AB123" s="5"/>
      <c r="AC123" s="5"/>
      <c r="AD123" s="5"/>
      <c r="AE123" s="5"/>
      <c r="AF123" s="5"/>
      <c r="AG123" s="5"/>
      <c r="AH123" s="3"/>
      <c r="AI123" s="3"/>
      <c r="AJ123" s="3"/>
      <c r="AK123" s="3"/>
      <c r="AL123" s="3"/>
      <c r="AM123" s="3"/>
      <c r="AN123" s="3"/>
      <c r="AO123" s="3"/>
      <c r="AP123" s="3"/>
      <c r="AQ123" s="6"/>
      <c r="AR123" s="6"/>
      <c r="AS123" s="3"/>
      <c r="AT123" s="3"/>
      <c r="AU123" s="3"/>
      <c r="AV123" s="3"/>
      <c r="BL123" s="3"/>
      <c r="BM123" s="3"/>
    </row>
    <row r="124" spans="1:65" s="4" customFormat="1" ht="26.4" hidden="1" x14ac:dyDescent="0.25">
      <c r="A124" s="83" t="s">
        <v>102</v>
      </c>
      <c r="B124" s="84" t="s">
        <v>184</v>
      </c>
      <c r="C124" s="85" t="s">
        <v>103</v>
      </c>
      <c r="D124" s="86">
        <v>23541.7</v>
      </c>
      <c r="E124" s="86">
        <v>27881.03</v>
      </c>
      <c r="F124" s="86">
        <v>23721.63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109"/>
      <c r="V124" s="3"/>
      <c r="W124" s="3"/>
      <c r="X124" s="3"/>
      <c r="Y124" s="3"/>
      <c r="AB124" s="5"/>
      <c r="AC124" s="5"/>
      <c r="AD124" s="5"/>
      <c r="AE124" s="5"/>
      <c r="AF124" s="5"/>
      <c r="AG124" s="5"/>
      <c r="AH124" s="3"/>
      <c r="AI124" s="3"/>
      <c r="AJ124" s="3"/>
      <c r="AK124" s="3"/>
      <c r="AL124" s="3"/>
      <c r="AM124" s="3"/>
      <c r="AN124" s="3"/>
      <c r="AO124" s="3"/>
      <c r="AP124" s="3"/>
      <c r="AQ124" s="6"/>
      <c r="AR124" s="6"/>
      <c r="AS124" s="3"/>
      <c r="AT124" s="3"/>
      <c r="AU124" s="3"/>
      <c r="AV124" s="3"/>
      <c r="BL124" s="3"/>
      <c r="BM124" s="3"/>
    </row>
    <row r="125" spans="1:65" s="4" customFormat="1" ht="26.4" hidden="1" x14ac:dyDescent="0.25">
      <c r="A125" s="83" t="s">
        <v>102</v>
      </c>
      <c r="B125" s="84" t="s">
        <v>183</v>
      </c>
      <c r="C125" s="85" t="s">
        <v>103</v>
      </c>
      <c r="D125" s="86">
        <v>5000</v>
      </c>
      <c r="E125" s="86">
        <v>0</v>
      </c>
      <c r="F125" s="86">
        <v>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109"/>
      <c r="V125" s="3"/>
      <c r="W125" s="3"/>
      <c r="X125" s="3"/>
      <c r="Y125" s="3"/>
      <c r="AB125" s="5"/>
      <c r="AC125" s="5"/>
      <c r="AD125" s="5"/>
      <c r="AE125" s="5"/>
      <c r="AF125" s="5"/>
      <c r="AG125" s="5"/>
      <c r="AH125" s="3"/>
      <c r="AI125" s="3"/>
      <c r="AJ125" s="3"/>
      <c r="AK125" s="3"/>
      <c r="AL125" s="3"/>
      <c r="AM125" s="3"/>
      <c r="AN125" s="3"/>
      <c r="AO125" s="3"/>
      <c r="AP125" s="3"/>
      <c r="AQ125" s="6"/>
      <c r="AR125" s="6"/>
      <c r="AS125" s="3"/>
      <c r="AT125" s="3"/>
      <c r="AU125" s="3"/>
      <c r="AV125" s="3"/>
      <c r="BL125" s="3"/>
      <c r="BM125" s="3"/>
    </row>
    <row r="126" spans="1:65" s="4" customFormat="1" ht="26.4" hidden="1" x14ac:dyDescent="0.25">
      <c r="A126" s="83" t="s">
        <v>102</v>
      </c>
      <c r="B126" s="84" t="s">
        <v>55</v>
      </c>
      <c r="C126" s="85" t="s">
        <v>103</v>
      </c>
      <c r="D126" s="86">
        <v>80000</v>
      </c>
      <c r="E126" s="86">
        <v>0</v>
      </c>
      <c r="F126" s="86">
        <v>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109"/>
      <c r="V126" s="3"/>
      <c r="W126" s="3"/>
      <c r="X126" s="3"/>
      <c r="Y126" s="3"/>
      <c r="AB126" s="5"/>
      <c r="AC126" s="5"/>
      <c r="AD126" s="5"/>
      <c r="AE126" s="5"/>
      <c r="AF126" s="5"/>
      <c r="AG126" s="5"/>
      <c r="AH126" s="3"/>
      <c r="AI126" s="3"/>
      <c r="AJ126" s="3"/>
      <c r="AK126" s="3"/>
      <c r="AL126" s="3"/>
      <c r="AM126" s="3"/>
      <c r="AN126" s="3"/>
      <c r="AO126" s="3"/>
      <c r="AP126" s="3"/>
      <c r="AQ126" s="6"/>
      <c r="AR126" s="6"/>
      <c r="AS126" s="3"/>
      <c r="AT126" s="3"/>
      <c r="AU126" s="3"/>
      <c r="AV126" s="3"/>
      <c r="BL126" s="3"/>
      <c r="BM126" s="3"/>
    </row>
    <row r="127" spans="1:65" s="4" customFormat="1" ht="26.4" hidden="1" x14ac:dyDescent="0.25">
      <c r="A127" s="58" t="s">
        <v>102</v>
      </c>
      <c r="B127" s="13" t="s">
        <v>267</v>
      </c>
      <c r="C127" s="14" t="s">
        <v>103</v>
      </c>
      <c r="D127" s="45">
        <v>36494</v>
      </c>
      <c r="E127" s="45">
        <v>36494</v>
      </c>
      <c r="F127" s="45">
        <v>36494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109"/>
      <c r="V127" s="3"/>
      <c r="W127" s="3"/>
      <c r="X127" s="3"/>
      <c r="Y127" s="3"/>
      <c r="AB127" s="5"/>
      <c r="AC127" s="5"/>
      <c r="AD127" s="5"/>
      <c r="AE127" s="5"/>
      <c r="AF127" s="5"/>
      <c r="AG127" s="5"/>
      <c r="AH127" s="3"/>
      <c r="AI127" s="3"/>
      <c r="AJ127" s="3"/>
      <c r="AK127" s="3"/>
      <c r="AL127" s="3"/>
      <c r="AM127" s="3"/>
      <c r="AN127" s="3"/>
      <c r="AO127" s="3"/>
      <c r="AP127" s="3"/>
      <c r="AQ127" s="6"/>
      <c r="AR127" s="6"/>
      <c r="AS127" s="3"/>
      <c r="AT127" s="3"/>
      <c r="AU127" s="3"/>
      <c r="AV127" s="3"/>
      <c r="BL127" s="3"/>
      <c r="BM127" s="3"/>
    </row>
    <row r="128" spans="1:65" s="4" customFormat="1" ht="26.4" hidden="1" x14ac:dyDescent="0.25">
      <c r="A128" s="58" t="s">
        <v>102</v>
      </c>
      <c r="B128" s="13" t="s">
        <v>157</v>
      </c>
      <c r="C128" s="14" t="s">
        <v>103</v>
      </c>
      <c r="D128" s="45">
        <f>2243.63+66833.58</f>
        <v>69077.210000000006</v>
      </c>
      <c r="E128" s="45">
        <v>0</v>
      </c>
      <c r="F128" s="45">
        <v>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109"/>
      <c r="V128" s="3"/>
      <c r="W128" s="3"/>
      <c r="X128" s="3"/>
      <c r="Y128" s="3"/>
      <c r="AB128" s="5"/>
      <c r="AC128" s="5"/>
      <c r="AD128" s="5"/>
      <c r="AE128" s="5"/>
      <c r="AF128" s="5"/>
      <c r="AG128" s="5"/>
      <c r="AH128" s="3"/>
      <c r="AI128" s="3"/>
      <c r="AJ128" s="3"/>
      <c r="AK128" s="3"/>
      <c r="AL128" s="3"/>
      <c r="AM128" s="3"/>
      <c r="AN128" s="3"/>
      <c r="AO128" s="3"/>
      <c r="AP128" s="3"/>
      <c r="AQ128" s="6"/>
      <c r="AR128" s="6"/>
      <c r="AS128" s="3"/>
      <c r="AT128" s="3"/>
      <c r="AU128" s="3"/>
      <c r="AV128" s="3"/>
      <c r="BL128" s="3"/>
      <c r="BM128" s="3"/>
    </row>
    <row r="129" spans="1:65" s="4" customFormat="1" ht="26.4" hidden="1" x14ac:dyDescent="0.25">
      <c r="A129" s="58" t="s">
        <v>102</v>
      </c>
      <c r="B129" s="13" t="s">
        <v>441</v>
      </c>
      <c r="C129" s="14" t="s">
        <v>103</v>
      </c>
      <c r="D129" s="45">
        <v>4921.2</v>
      </c>
      <c r="E129" s="45">
        <v>0</v>
      </c>
      <c r="F129" s="45">
        <v>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109"/>
      <c r="V129" s="3"/>
      <c r="W129" s="3"/>
      <c r="X129" s="3"/>
      <c r="Y129" s="3"/>
      <c r="AB129" s="5"/>
      <c r="AC129" s="5"/>
      <c r="AD129" s="5"/>
      <c r="AE129" s="5"/>
      <c r="AF129" s="5"/>
      <c r="AG129" s="5"/>
      <c r="AH129" s="3"/>
      <c r="AI129" s="3"/>
      <c r="AJ129" s="3"/>
      <c r="AK129" s="3"/>
      <c r="AL129" s="3"/>
      <c r="AM129" s="3"/>
      <c r="AN129" s="3"/>
      <c r="AO129" s="3"/>
      <c r="AP129" s="3"/>
      <c r="AQ129" s="6"/>
      <c r="AR129" s="6"/>
      <c r="AS129" s="3"/>
      <c r="AT129" s="3"/>
      <c r="AU129" s="3"/>
      <c r="AV129" s="3"/>
      <c r="BL129" s="3"/>
      <c r="BM129" s="3"/>
    </row>
    <row r="130" spans="1:65" s="4" customFormat="1" ht="26.4" hidden="1" x14ac:dyDescent="0.25">
      <c r="A130" s="58" t="s">
        <v>102</v>
      </c>
      <c r="B130" s="13" t="s">
        <v>57</v>
      </c>
      <c r="C130" s="85" t="s">
        <v>103</v>
      </c>
      <c r="D130" s="45">
        <v>1986072.57</v>
      </c>
      <c r="E130" s="45">
        <v>0</v>
      </c>
      <c r="F130" s="45">
        <v>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109"/>
      <c r="V130" s="3"/>
      <c r="W130" s="3"/>
      <c r="X130" s="3"/>
      <c r="Y130" s="3"/>
      <c r="AB130" s="5"/>
      <c r="AC130" s="5"/>
      <c r="AD130" s="5"/>
      <c r="AE130" s="5"/>
      <c r="AF130" s="5"/>
      <c r="AG130" s="5"/>
      <c r="AH130" s="3"/>
      <c r="AI130" s="3"/>
      <c r="AJ130" s="3"/>
      <c r="AK130" s="3"/>
      <c r="AL130" s="3"/>
      <c r="AM130" s="3"/>
      <c r="AN130" s="3"/>
      <c r="AO130" s="3"/>
      <c r="AP130" s="3"/>
      <c r="AQ130" s="6"/>
      <c r="AR130" s="6"/>
      <c r="AS130" s="3"/>
      <c r="AT130" s="3"/>
      <c r="AU130" s="3"/>
      <c r="AV130" s="3"/>
      <c r="BL130" s="3"/>
      <c r="BM130" s="3"/>
    </row>
    <row r="131" spans="1:65" s="4" customFormat="1" ht="39.6" hidden="1" x14ac:dyDescent="0.25">
      <c r="A131" s="83" t="s">
        <v>104</v>
      </c>
      <c r="B131" s="84" t="s">
        <v>57</v>
      </c>
      <c r="C131" s="85" t="s">
        <v>105</v>
      </c>
      <c r="D131" s="45">
        <f>280271+19919729</f>
        <v>20200000</v>
      </c>
      <c r="E131" s="45">
        <v>276802</v>
      </c>
      <c r="F131" s="45">
        <v>312854.33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109"/>
      <c r="V131" s="3"/>
      <c r="W131" s="3"/>
      <c r="X131" s="3"/>
      <c r="Y131" s="3"/>
      <c r="AB131" s="5"/>
      <c r="AC131" s="5"/>
      <c r="AD131" s="5"/>
      <c r="AE131" s="5"/>
      <c r="AF131" s="5"/>
      <c r="AG131" s="5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BL131" s="3"/>
      <c r="BM131" s="3"/>
    </row>
    <row r="132" spans="1:65" s="4" customFormat="1" ht="26.4" hidden="1" x14ac:dyDescent="0.25">
      <c r="A132" s="94" t="s">
        <v>106</v>
      </c>
      <c r="B132" s="84" t="s">
        <v>57</v>
      </c>
      <c r="C132" s="85" t="s">
        <v>107</v>
      </c>
      <c r="D132" s="45">
        <v>1501500</v>
      </c>
      <c r="E132" s="45">
        <v>1501500</v>
      </c>
      <c r="F132" s="45">
        <v>1501500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109"/>
      <c r="V132" s="3"/>
      <c r="W132" s="3"/>
      <c r="X132" s="3"/>
      <c r="Y132" s="3"/>
      <c r="AB132" s="5"/>
      <c r="AC132" s="5"/>
      <c r="AD132" s="5"/>
      <c r="AE132" s="5"/>
      <c r="AF132" s="5"/>
      <c r="AG132" s="5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BL132" s="3"/>
      <c r="BM132" s="3"/>
    </row>
    <row r="133" spans="1:65" s="20" customFormat="1" ht="30" customHeight="1" x14ac:dyDescent="0.25">
      <c r="A133" s="56" t="s">
        <v>108</v>
      </c>
      <c r="B133" s="13" t="s">
        <v>5</v>
      </c>
      <c r="C133" s="14" t="s">
        <v>320</v>
      </c>
      <c r="D133" s="45">
        <f>+D134+D138</f>
        <v>13646833.819999998</v>
      </c>
      <c r="E133" s="45">
        <f>+E134+E138</f>
        <v>12192422</v>
      </c>
      <c r="F133" s="45">
        <f>+F134+F138</f>
        <v>7116422</v>
      </c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3"/>
      <c r="T133" s="3"/>
      <c r="U133" s="109"/>
      <c r="V133" s="3"/>
      <c r="W133" s="3"/>
      <c r="X133" s="19"/>
      <c r="Y133" s="19"/>
      <c r="AB133" s="18"/>
      <c r="AC133" s="18"/>
      <c r="AD133" s="18"/>
      <c r="AE133" s="18"/>
      <c r="AF133" s="18"/>
      <c r="AG133" s="18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BL133" s="19"/>
      <c r="BM133" s="19"/>
    </row>
    <row r="134" spans="1:65" s="4" customFormat="1" ht="69" customHeight="1" x14ac:dyDescent="0.25">
      <c r="A134" s="56" t="s">
        <v>109</v>
      </c>
      <c r="B134" s="26" t="s">
        <v>5</v>
      </c>
      <c r="C134" s="26" t="s">
        <v>321</v>
      </c>
      <c r="D134" s="45">
        <f>+D135</f>
        <v>4628761.5999999996</v>
      </c>
      <c r="E134" s="45">
        <f t="shared" ref="E134:F134" si="37">+E135</f>
        <v>4628000</v>
      </c>
      <c r="F134" s="45">
        <f t="shared" si="37"/>
        <v>476000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109"/>
      <c r="V134" s="3"/>
      <c r="W134" s="3"/>
      <c r="X134" s="3"/>
      <c r="Y134" s="3"/>
      <c r="AB134" s="5"/>
      <c r="AC134" s="5"/>
      <c r="AD134" s="5"/>
      <c r="AE134" s="5"/>
      <c r="AF134" s="5"/>
      <c r="AG134" s="5"/>
      <c r="AH134" s="3"/>
      <c r="AI134" s="3"/>
      <c r="AJ134" s="3"/>
      <c r="AK134" s="3"/>
      <c r="AL134" s="3"/>
      <c r="AM134" s="3"/>
      <c r="AN134" s="3"/>
      <c r="AO134" s="3"/>
      <c r="AP134" s="3"/>
      <c r="AQ134" s="6"/>
      <c r="AR134" s="6"/>
      <c r="AS134" s="3"/>
      <c r="AT134" s="3"/>
      <c r="AU134" s="3"/>
      <c r="AV134" s="3"/>
      <c r="BL134" s="3"/>
      <c r="BM134" s="3"/>
    </row>
    <row r="135" spans="1:65" s="4" customFormat="1" ht="79.2" hidden="1" x14ac:dyDescent="0.25">
      <c r="A135" s="56" t="s">
        <v>110</v>
      </c>
      <c r="B135" s="26" t="s">
        <v>5</v>
      </c>
      <c r="C135" s="26" t="s">
        <v>111</v>
      </c>
      <c r="D135" s="45">
        <f>+D136+D137</f>
        <v>4628761.5999999996</v>
      </c>
      <c r="E135" s="45">
        <f t="shared" ref="E135:F135" si="38">+E136+E137</f>
        <v>4628000</v>
      </c>
      <c r="F135" s="45">
        <f t="shared" si="38"/>
        <v>476000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109"/>
      <c r="V135" s="3"/>
      <c r="W135" s="3"/>
      <c r="X135" s="3"/>
      <c r="Y135" s="3"/>
      <c r="AB135" s="5"/>
      <c r="AC135" s="5"/>
      <c r="AD135" s="5"/>
      <c r="AE135" s="5"/>
      <c r="AF135" s="5"/>
      <c r="AG135" s="5"/>
      <c r="AH135" s="3"/>
      <c r="AI135" s="3"/>
      <c r="AJ135" s="3"/>
      <c r="AK135" s="3"/>
      <c r="AL135" s="3"/>
      <c r="AM135" s="3"/>
      <c r="AN135" s="3"/>
      <c r="AO135" s="3"/>
      <c r="AP135" s="3"/>
      <c r="AQ135" s="6"/>
      <c r="AR135" s="6"/>
      <c r="AS135" s="3"/>
      <c r="AT135" s="3"/>
      <c r="AU135" s="3"/>
      <c r="AV135" s="3"/>
      <c r="BL135" s="3"/>
      <c r="BM135" s="3"/>
    </row>
    <row r="136" spans="1:65" s="4" customFormat="1" ht="79.2" hidden="1" x14ac:dyDescent="0.25">
      <c r="A136" s="56" t="s">
        <v>220</v>
      </c>
      <c r="B136" s="26" t="s">
        <v>55</v>
      </c>
      <c r="C136" s="26" t="s">
        <v>219</v>
      </c>
      <c r="D136" s="45">
        <v>4628000</v>
      </c>
      <c r="E136" s="45">
        <v>4628000</v>
      </c>
      <c r="F136" s="45">
        <v>476000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109"/>
      <c r="V136" s="3"/>
      <c r="W136" s="3"/>
      <c r="X136" s="3"/>
      <c r="Y136" s="3"/>
      <c r="AB136" s="5"/>
      <c r="AC136" s="5"/>
      <c r="AD136" s="5"/>
      <c r="AE136" s="5"/>
      <c r="AF136" s="5"/>
      <c r="AG136" s="5"/>
      <c r="AH136" s="3"/>
      <c r="AI136" s="3"/>
      <c r="AJ136" s="3"/>
      <c r="AK136" s="3"/>
      <c r="AL136" s="3"/>
      <c r="AM136" s="3"/>
      <c r="AN136" s="3"/>
      <c r="AO136" s="3"/>
      <c r="AP136" s="3"/>
      <c r="AQ136" s="6"/>
      <c r="AR136" s="6"/>
      <c r="AS136" s="3"/>
      <c r="AT136" s="3"/>
      <c r="AU136" s="3"/>
      <c r="AV136" s="3"/>
      <c r="BL136" s="3"/>
      <c r="BM136" s="3"/>
    </row>
    <row r="137" spans="1:65" s="4" customFormat="1" ht="90.6" hidden="1" customHeight="1" x14ac:dyDescent="0.25">
      <c r="A137" s="56" t="s">
        <v>507</v>
      </c>
      <c r="B137" s="26" t="s">
        <v>55</v>
      </c>
      <c r="C137" s="26" t="s">
        <v>479</v>
      </c>
      <c r="D137" s="45">
        <v>761.6</v>
      </c>
      <c r="E137" s="45">
        <v>0</v>
      </c>
      <c r="F137" s="45">
        <v>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109"/>
      <c r="V137" s="3"/>
      <c r="W137" s="3"/>
      <c r="X137" s="3"/>
      <c r="Y137" s="3"/>
      <c r="AB137" s="5"/>
      <c r="AC137" s="5"/>
      <c r="AD137" s="5"/>
      <c r="AE137" s="5"/>
      <c r="AF137" s="5"/>
      <c r="AG137" s="5"/>
      <c r="AH137" s="3"/>
      <c r="AI137" s="3"/>
      <c r="AJ137" s="3"/>
      <c r="AK137" s="3"/>
      <c r="AL137" s="3"/>
      <c r="AM137" s="3"/>
      <c r="AN137" s="3"/>
      <c r="AO137" s="3"/>
      <c r="AP137" s="3"/>
      <c r="AQ137" s="6"/>
      <c r="AR137" s="6"/>
      <c r="AS137" s="3"/>
      <c r="AT137" s="3"/>
      <c r="AU137" s="3"/>
      <c r="AV137" s="3"/>
      <c r="BL137" s="3"/>
      <c r="BM137" s="3"/>
    </row>
    <row r="138" spans="1:65" s="4" customFormat="1" ht="28.2" customHeight="1" x14ac:dyDescent="0.25">
      <c r="A138" s="56" t="s">
        <v>112</v>
      </c>
      <c r="B138" s="26" t="s">
        <v>5</v>
      </c>
      <c r="C138" s="95" t="s">
        <v>322</v>
      </c>
      <c r="D138" s="45">
        <f>+D139+D141</f>
        <v>9018072.2199999988</v>
      </c>
      <c r="E138" s="45">
        <f t="shared" ref="E138:F138" si="39">+E139+E141</f>
        <v>7564422</v>
      </c>
      <c r="F138" s="45">
        <f t="shared" si="39"/>
        <v>6640422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109"/>
      <c r="V138" s="3"/>
      <c r="W138" s="3"/>
      <c r="X138" s="3"/>
      <c r="Y138" s="3"/>
      <c r="AB138" s="5"/>
      <c r="AC138" s="5"/>
      <c r="AD138" s="5"/>
      <c r="AE138" s="5"/>
      <c r="AF138" s="5"/>
      <c r="AG138" s="5"/>
      <c r="AH138" s="3"/>
      <c r="AI138" s="3"/>
      <c r="AJ138" s="3"/>
      <c r="AK138" s="3"/>
      <c r="AL138" s="3"/>
      <c r="AM138" s="3"/>
      <c r="AN138" s="3"/>
      <c r="AO138" s="3"/>
      <c r="AP138" s="3"/>
      <c r="AQ138" s="6"/>
      <c r="AR138" s="6"/>
      <c r="AS138" s="3"/>
      <c r="AT138" s="3"/>
      <c r="AU138" s="3"/>
      <c r="AV138" s="3"/>
      <c r="BL138" s="3"/>
      <c r="BM138" s="3"/>
    </row>
    <row r="139" spans="1:65" s="4" customFormat="1" ht="26.4" hidden="1" x14ac:dyDescent="0.25">
      <c r="A139" s="56" t="s">
        <v>113</v>
      </c>
      <c r="B139" s="26" t="s">
        <v>5</v>
      </c>
      <c r="C139" s="95" t="s">
        <v>114</v>
      </c>
      <c r="D139" s="45">
        <f>+D140</f>
        <v>6256494</v>
      </c>
      <c r="E139" s="45">
        <f>+E140</f>
        <v>6256494</v>
      </c>
      <c r="F139" s="45">
        <f>+F140</f>
        <v>6256494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109"/>
      <c r="V139" s="3"/>
      <c r="W139" s="3"/>
      <c r="X139" s="3"/>
      <c r="Y139" s="3"/>
      <c r="AB139" s="5"/>
      <c r="AC139" s="5"/>
      <c r="AD139" s="5"/>
      <c r="AE139" s="5"/>
      <c r="AF139" s="5"/>
      <c r="AG139" s="5"/>
      <c r="AH139" s="3"/>
      <c r="AI139" s="3"/>
      <c r="AJ139" s="3"/>
      <c r="AK139" s="3"/>
      <c r="AL139" s="3"/>
      <c r="AM139" s="3"/>
      <c r="AN139" s="3"/>
      <c r="AO139" s="3"/>
      <c r="AP139" s="3"/>
      <c r="AQ139" s="6"/>
      <c r="AR139" s="6"/>
      <c r="AS139" s="3"/>
      <c r="AT139" s="3"/>
      <c r="AU139" s="3"/>
      <c r="AV139" s="3"/>
      <c r="BL139" s="3"/>
      <c r="BM139" s="3"/>
    </row>
    <row r="140" spans="1:65" s="4" customFormat="1" ht="39.6" hidden="1" x14ac:dyDescent="0.25">
      <c r="A140" s="56" t="s">
        <v>115</v>
      </c>
      <c r="B140" s="26" t="s">
        <v>55</v>
      </c>
      <c r="C140" s="95" t="s">
        <v>116</v>
      </c>
      <c r="D140" s="45">
        <v>6256494</v>
      </c>
      <c r="E140" s="45">
        <v>6256494</v>
      </c>
      <c r="F140" s="45">
        <v>6256494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27"/>
      <c r="V140" s="3"/>
      <c r="W140" s="3"/>
      <c r="X140" s="3"/>
      <c r="Y140" s="3"/>
      <c r="AB140" s="5"/>
      <c r="AC140" s="5"/>
      <c r="AD140" s="5"/>
      <c r="AE140" s="5"/>
      <c r="AF140" s="5"/>
      <c r="AG140" s="5"/>
      <c r="AH140" s="3"/>
      <c r="AI140" s="3"/>
      <c r="AJ140" s="3"/>
      <c r="AK140" s="3"/>
      <c r="AL140" s="3"/>
      <c r="AM140" s="3"/>
      <c r="AN140" s="3"/>
      <c r="AO140" s="3"/>
      <c r="AP140" s="3"/>
      <c r="AQ140" s="6"/>
      <c r="AR140" s="6"/>
      <c r="AS140" s="3"/>
      <c r="AT140" s="3"/>
      <c r="AU140" s="3"/>
      <c r="AV140" s="3"/>
      <c r="BL140" s="3"/>
      <c r="BM140" s="3"/>
    </row>
    <row r="141" spans="1:65" s="4" customFormat="1" ht="39.6" hidden="1" x14ac:dyDescent="0.25">
      <c r="A141" s="56" t="s">
        <v>117</v>
      </c>
      <c r="B141" s="26" t="s">
        <v>5</v>
      </c>
      <c r="C141" s="95" t="s">
        <v>118</v>
      </c>
      <c r="D141" s="45">
        <f>+D142</f>
        <v>2761578.2199999997</v>
      </c>
      <c r="E141" s="45">
        <f>+E142</f>
        <v>1307928</v>
      </c>
      <c r="F141" s="45">
        <f>+F142</f>
        <v>383928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109"/>
      <c r="V141" s="3"/>
      <c r="W141" s="3"/>
      <c r="X141" s="3"/>
      <c r="Y141" s="3"/>
      <c r="AB141" s="5"/>
      <c r="AC141" s="5"/>
      <c r="AD141" s="5"/>
      <c r="AE141" s="5"/>
      <c r="AF141" s="5"/>
      <c r="AG141" s="5"/>
      <c r="AH141" s="3"/>
      <c r="AI141" s="3"/>
      <c r="AJ141" s="3"/>
      <c r="AK141" s="3"/>
      <c r="AL141" s="3"/>
      <c r="AM141" s="3"/>
      <c r="AN141" s="3"/>
      <c r="AO141" s="3"/>
      <c r="AP141" s="3"/>
      <c r="AQ141" s="6"/>
      <c r="AR141" s="6"/>
      <c r="AS141" s="3"/>
      <c r="AT141" s="3"/>
      <c r="AU141" s="3"/>
      <c r="AV141" s="3"/>
      <c r="BL141" s="3"/>
      <c r="BM141" s="3"/>
    </row>
    <row r="142" spans="1:65" s="4" customFormat="1" ht="39.6" hidden="1" x14ac:dyDescent="0.25">
      <c r="A142" s="56" t="s">
        <v>119</v>
      </c>
      <c r="B142" s="26" t="s">
        <v>55</v>
      </c>
      <c r="C142" s="95" t="s">
        <v>120</v>
      </c>
      <c r="D142" s="45">
        <f>1307928+1453650.22</f>
        <v>2761578.2199999997</v>
      </c>
      <c r="E142" s="45">
        <v>1307928</v>
      </c>
      <c r="F142" s="45">
        <v>383928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109"/>
      <c r="V142" s="3"/>
      <c r="W142" s="3"/>
      <c r="X142" s="3"/>
      <c r="Y142" s="3"/>
      <c r="AB142" s="5"/>
      <c r="AC142" s="5"/>
      <c r="AD142" s="5"/>
      <c r="AE142" s="5"/>
      <c r="AF142" s="5"/>
      <c r="AG142" s="5"/>
      <c r="AH142" s="3"/>
      <c r="AI142" s="3"/>
      <c r="AJ142" s="3"/>
      <c r="AK142" s="3"/>
      <c r="AL142" s="3"/>
      <c r="AM142" s="3"/>
      <c r="AN142" s="3"/>
      <c r="AO142" s="3"/>
      <c r="AP142" s="3"/>
      <c r="AQ142" s="6"/>
      <c r="AR142" s="6"/>
      <c r="AS142" s="3"/>
      <c r="AT142" s="3"/>
      <c r="AU142" s="3"/>
      <c r="AV142" s="3"/>
      <c r="BL142" s="3"/>
      <c r="BM142" s="3"/>
    </row>
    <row r="143" spans="1:65" s="4" customFormat="1" ht="16.95" customHeight="1" x14ac:dyDescent="0.25">
      <c r="A143" s="56" t="s">
        <v>121</v>
      </c>
      <c r="B143" s="13" t="s">
        <v>5</v>
      </c>
      <c r="C143" s="14" t="s">
        <v>323</v>
      </c>
      <c r="D143" s="45">
        <f>+D144+D174+D176+D185+D192</f>
        <v>13082171.369999999</v>
      </c>
      <c r="E143" s="45">
        <f>+E144+E174+E176+E185+E192</f>
        <v>14702007.449999999</v>
      </c>
      <c r="F143" s="45">
        <f>+F144+F174+F176+F185+F192</f>
        <v>15157862.370000001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109"/>
      <c r="V143" s="3"/>
      <c r="W143" s="3"/>
      <c r="X143" s="3"/>
      <c r="Y143" s="3"/>
      <c r="AB143" s="5"/>
      <c r="AC143" s="5"/>
      <c r="AD143" s="5"/>
      <c r="AE143" s="5"/>
      <c r="AF143" s="5"/>
      <c r="AG143" s="5"/>
      <c r="AH143" s="3"/>
      <c r="AI143" s="3"/>
      <c r="AJ143" s="3"/>
      <c r="AK143" s="3"/>
      <c r="AL143" s="3"/>
      <c r="AM143" s="3"/>
      <c r="AN143" s="3"/>
      <c r="AO143" s="28"/>
      <c r="AP143" s="3"/>
      <c r="AQ143" s="6"/>
      <c r="AR143" s="6"/>
      <c r="AS143" s="3"/>
      <c r="AT143" s="3"/>
      <c r="AU143" s="3"/>
      <c r="AV143" s="3"/>
      <c r="BL143" s="3"/>
      <c r="BM143" s="3"/>
    </row>
    <row r="144" spans="1:65" s="4" customFormat="1" ht="29.4" customHeight="1" x14ac:dyDescent="0.25">
      <c r="A144" s="56" t="s">
        <v>122</v>
      </c>
      <c r="B144" s="13" t="s">
        <v>5</v>
      </c>
      <c r="C144" s="14" t="s">
        <v>324</v>
      </c>
      <c r="D144" s="45">
        <f>+D145+D148+D151+D162+D168+D171+D160+D166+D154+D156+D158+D164</f>
        <v>3008771</v>
      </c>
      <c r="E144" s="45">
        <f>+E145+E148+E151+E162+E168+E171+E160+E166+E154+E156+E158+E164</f>
        <v>2471600</v>
      </c>
      <c r="F144" s="45">
        <f t="shared" ref="F144" si="40">+F145+F148+F151+F162+F168+F171+F160+F166+F154+F156+F158+F164</f>
        <v>2474400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109"/>
      <c r="V144" s="3"/>
      <c r="W144" s="3"/>
      <c r="X144" s="3"/>
      <c r="Y144" s="3"/>
      <c r="AB144" s="5"/>
      <c r="AC144" s="5"/>
      <c r="AD144" s="5"/>
      <c r="AE144" s="5"/>
      <c r="AF144" s="5"/>
      <c r="AG144" s="5"/>
      <c r="AH144" s="3"/>
      <c r="AI144" s="3"/>
      <c r="AJ144" s="3"/>
      <c r="AK144" s="3"/>
      <c r="AL144" s="3"/>
      <c r="AM144" s="3"/>
      <c r="AN144" s="3"/>
      <c r="AO144" s="3"/>
      <c r="AP144" s="3"/>
      <c r="AQ144" s="6"/>
      <c r="AR144" s="6"/>
      <c r="AS144" s="3"/>
      <c r="AT144" s="3"/>
      <c r="AU144" s="3"/>
      <c r="AV144" s="3"/>
      <c r="BL144" s="3"/>
      <c r="BM144" s="3"/>
    </row>
    <row r="145" spans="1:65" s="4" customFormat="1" ht="46.2" hidden="1" customHeight="1" x14ac:dyDescent="0.25">
      <c r="A145" s="56" t="s">
        <v>123</v>
      </c>
      <c r="B145" s="13" t="s">
        <v>5</v>
      </c>
      <c r="C145" s="53" t="s">
        <v>124</v>
      </c>
      <c r="D145" s="45">
        <f>+D146+D147</f>
        <v>46500</v>
      </c>
      <c r="E145" s="45">
        <f t="shared" ref="E145:F145" si="41">+E146+E147</f>
        <v>47500</v>
      </c>
      <c r="F145" s="45">
        <f t="shared" si="41"/>
        <v>48600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109"/>
      <c r="V145" s="3"/>
      <c r="W145" s="3"/>
      <c r="X145" s="3"/>
      <c r="Y145" s="3"/>
      <c r="AB145" s="5"/>
      <c r="AC145" s="5"/>
      <c r="AD145" s="5"/>
      <c r="AE145" s="5"/>
      <c r="AF145" s="5"/>
      <c r="AG145" s="5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BL145" s="3"/>
      <c r="BM145" s="3"/>
    </row>
    <row r="146" spans="1:65" s="4" customFormat="1" ht="66" hidden="1" x14ac:dyDescent="0.25">
      <c r="A146" s="56" t="s">
        <v>125</v>
      </c>
      <c r="B146" s="13" t="s">
        <v>126</v>
      </c>
      <c r="C146" s="53" t="s">
        <v>127</v>
      </c>
      <c r="D146" s="45">
        <v>25500</v>
      </c>
      <c r="E146" s="45">
        <v>26500</v>
      </c>
      <c r="F146" s="45">
        <v>27600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109"/>
      <c r="V146" s="3"/>
      <c r="W146" s="3"/>
      <c r="X146" s="3"/>
      <c r="Y146" s="3"/>
      <c r="AB146" s="5"/>
      <c r="AC146" s="5"/>
      <c r="AD146" s="5"/>
      <c r="AE146" s="5"/>
      <c r="AF146" s="5"/>
      <c r="AG146" s="5"/>
      <c r="AH146" s="3"/>
      <c r="AI146" s="3"/>
      <c r="AJ146" s="3"/>
      <c r="AK146" s="3"/>
      <c r="AL146" s="29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BL146" s="3"/>
      <c r="BM146" s="3"/>
    </row>
    <row r="147" spans="1:65" s="4" customFormat="1" ht="66" hidden="1" x14ac:dyDescent="0.25">
      <c r="A147" s="56" t="s">
        <v>125</v>
      </c>
      <c r="B147" s="13" t="s">
        <v>128</v>
      </c>
      <c r="C147" s="53" t="s">
        <v>127</v>
      </c>
      <c r="D147" s="45">
        <f>200+6400+1300+1600+11500</f>
        <v>21000</v>
      </c>
      <c r="E147" s="45">
        <f>200+6400+1300+1600+11500</f>
        <v>21000</v>
      </c>
      <c r="F147" s="45">
        <f>200+6400+1300+1600+11500</f>
        <v>21000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109"/>
      <c r="V147" s="3"/>
      <c r="W147" s="3"/>
      <c r="X147" s="3"/>
      <c r="Y147" s="3"/>
      <c r="AB147" s="5"/>
      <c r="AC147" s="5"/>
      <c r="AD147" s="5"/>
      <c r="AE147" s="5"/>
      <c r="AF147" s="5"/>
      <c r="AG147" s="5"/>
      <c r="AH147" s="3"/>
      <c r="AI147" s="3"/>
      <c r="AJ147" s="3"/>
      <c r="AK147" s="3"/>
      <c r="AL147" s="29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BL147" s="3"/>
      <c r="BM147" s="3"/>
    </row>
    <row r="148" spans="1:65" s="4" customFormat="1" ht="66" hidden="1" x14ac:dyDescent="0.25">
      <c r="A148" s="56" t="s">
        <v>129</v>
      </c>
      <c r="B148" s="13" t="s">
        <v>5</v>
      </c>
      <c r="C148" s="53" t="s">
        <v>130</v>
      </c>
      <c r="D148" s="45">
        <f>+D149+D150</f>
        <v>277600</v>
      </c>
      <c r="E148" s="45">
        <f t="shared" ref="E148:F148" si="42">+E149+E150</f>
        <v>278000</v>
      </c>
      <c r="F148" s="45">
        <f t="shared" si="42"/>
        <v>278300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109"/>
      <c r="V148" s="3"/>
      <c r="W148" s="3"/>
      <c r="X148" s="3"/>
      <c r="Y148" s="3"/>
      <c r="AB148" s="5"/>
      <c r="AC148" s="5"/>
      <c r="AD148" s="5"/>
      <c r="AE148" s="5"/>
      <c r="AF148" s="5"/>
      <c r="AG148" s="5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BL148" s="3"/>
      <c r="BM148" s="3"/>
    </row>
    <row r="149" spans="1:65" s="4" customFormat="1" ht="79.2" hidden="1" x14ac:dyDescent="0.25">
      <c r="A149" s="56" t="s">
        <v>131</v>
      </c>
      <c r="B149" s="13" t="s">
        <v>126</v>
      </c>
      <c r="C149" s="53" t="s">
        <v>132</v>
      </c>
      <c r="D149" s="45">
        <f>1900+4500+2300</f>
        <v>8700</v>
      </c>
      <c r="E149" s="45">
        <f>2000+4700+2400</f>
        <v>9100</v>
      </c>
      <c r="F149" s="45">
        <f>2100+4800+2500</f>
        <v>9400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109"/>
      <c r="V149" s="3"/>
      <c r="W149" s="3"/>
      <c r="X149" s="3"/>
      <c r="Y149" s="3"/>
      <c r="AB149" s="5"/>
      <c r="AC149" s="5"/>
      <c r="AD149" s="5"/>
      <c r="AE149" s="5"/>
      <c r="AF149" s="5"/>
      <c r="AG149" s="5"/>
      <c r="AH149" s="3"/>
      <c r="AI149" s="3"/>
      <c r="AJ149" s="3"/>
      <c r="AK149" s="3"/>
      <c r="AL149" s="29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BL149" s="3"/>
      <c r="BM149" s="3"/>
    </row>
    <row r="150" spans="1:65" s="4" customFormat="1" ht="81" hidden="1" customHeight="1" x14ac:dyDescent="0.25">
      <c r="A150" s="56" t="s">
        <v>131</v>
      </c>
      <c r="B150" s="13" t="s">
        <v>128</v>
      </c>
      <c r="C150" s="53" t="s">
        <v>132</v>
      </c>
      <c r="D150" s="45">
        <f>24500+81000+10700+152700</f>
        <v>268900</v>
      </c>
      <c r="E150" s="45">
        <f t="shared" ref="E150:F150" si="43">24500+81000+10700+152700</f>
        <v>268900</v>
      </c>
      <c r="F150" s="45">
        <f t="shared" si="43"/>
        <v>268900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109"/>
      <c r="V150" s="3"/>
      <c r="W150" s="3"/>
      <c r="X150" s="3"/>
      <c r="Y150" s="3"/>
      <c r="AB150" s="5"/>
      <c r="AC150" s="5"/>
      <c r="AD150" s="5"/>
      <c r="AE150" s="5"/>
      <c r="AF150" s="5"/>
      <c r="AG150" s="5"/>
      <c r="AH150" s="3"/>
      <c r="AI150" s="3"/>
      <c r="AJ150" s="3"/>
      <c r="AK150" s="3"/>
      <c r="AL150" s="29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BL150" s="3"/>
      <c r="BM150" s="3"/>
    </row>
    <row r="151" spans="1:65" s="4" customFormat="1" ht="52.2" hidden="1" customHeight="1" x14ac:dyDescent="0.25">
      <c r="A151" s="56" t="s">
        <v>133</v>
      </c>
      <c r="B151" s="13" t="s">
        <v>5</v>
      </c>
      <c r="C151" s="53" t="s">
        <v>134</v>
      </c>
      <c r="D151" s="45">
        <f>+D153+D152</f>
        <v>219900</v>
      </c>
      <c r="E151" s="45">
        <f t="shared" ref="E151:F151" si="44">+E153+E152</f>
        <v>209900</v>
      </c>
      <c r="F151" s="45">
        <f t="shared" si="44"/>
        <v>210000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109"/>
      <c r="V151" s="3"/>
      <c r="W151" s="3"/>
      <c r="X151" s="3"/>
      <c r="Y151" s="3"/>
      <c r="AB151" s="5"/>
      <c r="AC151" s="5"/>
      <c r="AD151" s="5"/>
      <c r="AE151" s="5"/>
      <c r="AF151" s="5"/>
      <c r="AG151" s="5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BL151" s="3"/>
      <c r="BM151" s="3"/>
    </row>
    <row r="152" spans="1:65" s="4" customFormat="1" ht="69.599999999999994" hidden="1" customHeight="1" x14ac:dyDescent="0.25">
      <c r="A152" s="56" t="s">
        <v>135</v>
      </c>
      <c r="B152" s="13" t="s">
        <v>126</v>
      </c>
      <c r="C152" s="53" t="s">
        <v>136</v>
      </c>
      <c r="D152" s="45">
        <f>200+1900</f>
        <v>2100</v>
      </c>
      <c r="E152" s="45">
        <f>200+2000</f>
        <v>2200</v>
      </c>
      <c r="F152" s="45">
        <f>200+2100</f>
        <v>2300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109"/>
      <c r="V152" s="3"/>
      <c r="W152" s="3"/>
      <c r="X152" s="3"/>
      <c r="Y152" s="3"/>
      <c r="AB152" s="5"/>
      <c r="AC152" s="5"/>
      <c r="AD152" s="5"/>
      <c r="AE152" s="5"/>
      <c r="AF152" s="5"/>
      <c r="AG152" s="5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BL152" s="3"/>
      <c r="BM152" s="3"/>
    </row>
    <row r="153" spans="1:65" s="4" customFormat="1" ht="66.599999999999994" hidden="1" customHeight="1" x14ac:dyDescent="0.25">
      <c r="A153" s="56" t="s">
        <v>135</v>
      </c>
      <c r="B153" s="13" t="s">
        <v>128</v>
      </c>
      <c r="C153" s="53" t="s">
        <v>136</v>
      </c>
      <c r="D153" s="45">
        <f>600+2500+9500+139300+55800+10100</f>
        <v>217800</v>
      </c>
      <c r="E153" s="45">
        <f>600+2500+9500+139300+55800</f>
        <v>207700</v>
      </c>
      <c r="F153" s="45">
        <f>55800+600+2500+9500+139300</f>
        <v>207700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109"/>
      <c r="V153" s="3"/>
      <c r="W153" s="3"/>
      <c r="X153" s="3"/>
      <c r="Y153" s="3"/>
      <c r="AB153" s="5"/>
      <c r="AC153" s="5"/>
      <c r="AD153" s="5"/>
      <c r="AE153" s="5"/>
      <c r="AF153" s="5"/>
      <c r="AG153" s="5"/>
      <c r="AH153" s="3"/>
      <c r="AI153" s="3"/>
      <c r="AJ153" s="3"/>
      <c r="AK153" s="3"/>
      <c r="AL153" s="29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BL153" s="3"/>
      <c r="BM153" s="3"/>
    </row>
    <row r="154" spans="1:65" s="4" customFormat="1" ht="56.4" hidden="1" customHeight="1" x14ac:dyDescent="0.25">
      <c r="A154" s="56" t="s">
        <v>248</v>
      </c>
      <c r="B154" s="13" t="s">
        <v>5</v>
      </c>
      <c r="C154" s="53" t="s">
        <v>249</v>
      </c>
      <c r="D154" s="45">
        <f>+D155</f>
        <v>2500</v>
      </c>
      <c r="E154" s="45">
        <f t="shared" ref="E154:F154" si="45">+E155</f>
        <v>2500</v>
      </c>
      <c r="F154" s="45">
        <f t="shared" si="45"/>
        <v>2500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109"/>
      <c r="V154" s="3"/>
      <c r="W154" s="3"/>
      <c r="X154" s="3"/>
      <c r="Y154" s="3"/>
      <c r="AB154" s="5"/>
      <c r="AC154" s="5"/>
      <c r="AD154" s="5"/>
      <c r="AE154" s="5"/>
      <c r="AF154" s="5"/>
      <c r="AG154" s="5"/>
      <c r="AH154" s="3"/>
      <c r="AI154" s="3"/>
      <c r="AJ154" s="3"/>
      <c r="AK154" s="3"/>
      <c r="AL154" s="29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BL154" s="3"/>
      <c r="BM154" s="3"/>
    </row>
    <row r="155" spans="1:65" s="4" customFormat="1" ht="66" hidden="1" x14ac:dyDescent="0.25">
      <c r="A155" s="61" t="s">
        <v>247</v>
      </c>
      <c r="B155" s="13" t="s">
        <v>128</v>
      </c>
      <c r="C155" s="53" t="s">
        <v>244</v>
      </c>
      <c r="D155" s="45">
        <v>2500</v>
      </c>
      <c r="E155" s="45">
        <v>2500</v>
      </c>
      <c r="F155" s="45">
        <v>2500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109"/>
      <c r="V155" s="3"/>
      <c r="W155" s="3"/>
      <c r="X155" s="3"/>
      <c r="Y155" s="3"/>
      <c r="AB155" s="5"/>
      <c r="AC155" s="5"/>
      <c r="AD155" s="5"/>
      <c r="AE155" s="5"/>
      <c r="AF155" s="5"/>
      <c r="AG155" s="5"/>
      <c r="AH155" s="3"/>
      <c r="AI155" s="3"/>
      <c r="AJ155" s="3"/>
      <c r="AK155" s="3"/>
      <c r="AL155" s="29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BL155" s="3"/>
      <c r="BM155" s="3"/>
    </row>
    <row r="156" spans="1:65" s="4" customFormat="1" ht="52.8" hidden="1" x14ac:dyDescent="0.25">
      <c r="A156" s="61" t="s">
        <v>252</v>
      </c>
      <c r="B156" s="13" t="s">
        <v>5</v>
      </c>
      <c r="C156" s="53" t="s">
        <v>273</v>
      </c>
      <c r="D156" s="45">
        <f>+D157</f>
        <v>800</v>
      </c>
      <c r="E156" s="45">
        <f t="shared" ref="E156:F156" si="46">+E157</f>
        <v>800</v>
      </c>
      <c r="F156" s="45">
        <f t="shared" si="46"/>
        <v>800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109"/>
      <c r="V156" s="3"/>
      <c r="W156" s="3"/>
      <c r="X156" s="3"/>
      <c r="Y156" s="3"/>
      <c r="AB156" s="5"/>
      <c r="AC156" s="5"/>
      <c r="AD156" s="5"/>
      <c r="AE156" s="5"/>
      <c r="AF156" s="5"/>
      <c r="AG156" s="5"/>
      <c r="AH156" s="3"/>
      <c r="AI156" s="3"/>
      <c r="AJ156" s="3"/>
      <c r="AK156" s="3"/>
      <c r="AL156" s="29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BL156" s="3"/>
      <c r="BM156" s="3"/>
    </row>
    <row r="157" spans="1:65" s="4" customFormat="1" ht="72" hidden="1" customHeight="1" x14ac:dyDescent="0.25">
      <c r="A157" s="61" t="s">
        <v>251</v>
      </c>
      <c r="B157" s="13" t="s">
        <v>128</v>
      </c>
      <c r="C157" s="53" t="s">
        <v>250</v>
      </c>
      <c r="D157" s="45">
        <v>800</v>
      </c>
      <c r="E157" s="45">
        <v>800</v>
      </c>
      <c r="F157" s="45">
        <v>800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109"/>
      <c r="V157" s="3"/>
      <c r="W157" s="3"/>
      <c r="X157" s="3"/>
      <c r="Y157" s="3"/>
      <c r="AB157" s="5"/>
      <c r="AC157" s="5"/>
      <c r="AD157" s="5"/>
      <c r="AE157" s="5"/>
      <c r="AF157" s="5"/>
      <c r="AG157" s="5"/>
      <c r="AH157" s="3"/>
      <c r="AI157" s="3"/>
      <c r="AJ157" s="3"/>
      <c r="AK157" s="3"/>
      <c r="AL157" s="29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BL157" s="3"/>
      <c r="BM157" s="3"/>
    </row>
    <row r="158" spans="1:65" s="4" customFormat="1" ht="39.6" hidden="1" x14ac:dyDescent="0.25">
      <c r="A158" s="61" t="s">
        <v>255</v>
      </c>
      <c r="B158" s="13" t="s">
        <v>5</v>
      </c>
      <c r="C158" s="53" t="s">
        <v>272</v>
      </c>
      <c r="D158" s="45">
        <f>+D159</f>
        <v>3800</v>
      </c>
      <c r="E158" s="45">
        <f t="shared" ref="E158:F158" si="47">+E159</f>
        <v>3800</v>
      </c>
      <c r="F158" s="45">
        <f t="shared" si="47"/>
        <v>3800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109"/>
      <c r="V158" s="3"/>
      <c r="W158" s="3"/>
      <c r="X158" s="3"/>
      <c r="Y158" s="3"/>
      <c r="AB158" s="5"/>
      <c r="AC158" s="5"/>
      <c r="AD158" s="5"/>
      <c r="AE158" s="5"/>
      <c r="AF158" s="5"/>
      <c r="AG158" s="5"/>
      <c r="AH158" s="3"/>
      <c r="AI158" s="3"/>
      <c r="AJ158" s="3"/>
      <c r="AK158" s="3"/>
      <c r="AL158" s="29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BL158" s="3"/>
      <c r="BM158" s="3"/>
    </row>
    <row r="159" spans="1:65" s="4" customFormat="1" ht="66" hidden="1" x14ac:dyDescent="0.25">
      <c r="A159" s="61" t="s">
        <v>253</v>
      </c>
      <c r="B159" s="13" t="s">
        <v>128</v>
      </c>
      <c r="C159" s="53" t="s">
        <v>254</v>
      </c>
      <c r="D159" s="45">
        <v>3800</v>
      </c>
      <c r="E159" s="45">
        <v>3800</v>
      </c>
      <c r="F159" s="45">
        <v>3800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109"/>
      <c r="V159" s="3"/>
      <c r="W159" s="3"/>
      <c r="X159" s="3"/>
      <c r="Y159" s="3"/>
      <c r="AB159" s="5"/>
      <c r="AC159" s="5"/>
      <c r="AD159" s="5"/>
      <c r="AE159" s="5"/>
      <c r="AF159" s="5"/>
      <c r="AG159" s="5"/>
      <c r="AH159" s="3"/>
      <c r="AI159" s="3"/>
      <c r="AJ159" s="3"/>
      <c r="AK159" s="3"/>
      <c r="AL159" s="29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BL159" s="3"/>
      <c r="BM159" s="3"/>
    </row>
    <row r="160" spans="1:65" s="4" customFormat="1" ht="66" hidden="1" x14ac:dyDescent="0.25">
      <c r="A160" s="56" t="s">
        <v>137</v>
      </c>
      <c r="B160" s="13" t="s">
        <v>5</v>
      </c>
      <c r="C160" s="53" t="s">
        <v>138</v>
      </c>
      <c r="D160" s="45">
        <f>+D161</f>
        <v>332250</v>
      </c>
      <c r="E160" s="45">
        <f t="shared" ref="E160:F160" si="48">+E161</f>
        <v>289100</v>
      </c>
      <c r="F160" s="45">
        <f t="shared" si="48"/>
        <v>289100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109"/>
      <c r="V160" s="3"/>
      <c r="W160" s="3"/>
      <c r="X160" s="3"/>
      <c r="Y160" s="3"/>
      <c r="AB160" s="5"/>
      <c r="AC160" s="5"/>
      <c r="AD160" s="5"/>
      <c r="AE160" s="5"/>
      <c r="AF160" s="5"/>
      <c r="AG160" s="5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BL160" s="3"/>
      <c r="BM160" s="3"/>
    </row>
    <row r="161" spans="1:65" s="4" customFormat="1" ht="79.2" hidden="1" x14ac:dyDescent="0.25">
      <c r="A161" s="56" t="s">
        <v>139</v>
      </c>
      <c r="B161" s="13" t="s">
        <v>128</v>
      </c>
      <c r="C161" s="53" t="s">
        <v>140</v>
      </c>
      <c r="D161" s="45">
        <f>11500+211000+7100+59500+43150</f>
        <v>332250</v>
      </c>
      <c r="E161" s="45">
        <f t="shared" ref="E161:F161" si="49">11500+211000+7100+59500</f>
        <v>289100</v>
      </c>
      <c r="F161" s="45">
        <f t="shared" si="49"/>
        <v>289100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109"/>
      <c r="V161" s="3"/>
      <c r="W161" s="3"/>
      <c r="X161" s="3"/>
      <c r="Y161" s="3"/>
      <c r="AB161" s="5"/>
      <c r="AC161" s="5"/>
      <c r="AD161" s="5"/>
      <c r="AE161" s="5"/>
      <c r="AF161" s="5"/>
      <c r="AG161" s="5"/>
      <c r="AH161" s="3"/>
      <c r="AI161" s="3"/>
      <c r="AJ161" s="3"/>
      <c r="AK161" s="3"/>
      <c r="AL161" s="29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BL161" s="3"/>
      <c r="BM161" s="3"/>
    </row>
    <row r="162" spans="1:65" s="4" customFormat="1" ht="57.6" hidden="1" customHeight="1" x14ac:dyDescent="0.25">
      <c r="A162" s="56" t="s">
        <v>141</v>
      </c>
      <c r="B162" s="13" t="s">
        <v>5</v>
      </c>
      <c r="C162" s="53" t="s">
        <v>142</v>
      </c>
      <c r="D162" s="45">
        <f>+D163</f>
        <v>540021</v>
      </c>
      <c r="E162" s="45">
        <f t="shared" ref="E162:F162" si="50">+E163</f>
        <v>53500</v>
      </c>
      <c r="F162" s="45">
        <f t="shared" si="50"/>
        <v>53500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109"/>
      <c r="V162" s="3"/>
      <c r="W162" s="3"/>
      <c r="X162" s="3"/>
      <c r="Y162" s="3"/>
      <c r="AB162" s="5"/>
      <c r="AC162" s="5"/>
      <c r="AD162" s="5"/>
      <c r="AE162" s="5"/>
      <c r="AF162" s="5"/>
      <c r="AG162" s="5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BL162" s="3"/>
      <c r="BM162" s="3"/>
    </row>
    <row r="163" spans="1:65" s="4" customFormat="1" ht="118.8" hidden="1" x14ac:dyDescent="0.25">
      <c r="A163" s="56" t="s">
        <v>281</v>
      </c>
      <c r="B163" s="13" t="s">
        <v>128</v>
      </c>
      <c r="C163" s="53" t="s">
        <v>143</v>
      </c>
      <c r="D163" s="45">
        <f>8000+25300+17100+3100+486521</f>
        <v>540021</v>
      </c>
      <c r="E163" s="45">
        <f t="shared" ref="E163:F163" si="51">8000+25300+17100+3100</f>
        <v>53500</v>
      </c>
      <c r="F163" s="45">
        <f t="shared" si="51"/>
        <v>53500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109"/>
      <c r="V163" s="3"/>
      <c r="W163" s="3"/>
      <c r="X163" s="3"/>
      <c r="Y163" s="3"/>
      <c r="AB163" s="5"/>
      <c r="AC163" s="5"/>
      <c r="AD163" s="5"/>
      <c r="AE163" s="5"/>
      <c r="AF163" s="5"/>
      <c r="AG163" s="5"/>
      <c r="AH163" s="3"/>
      <c r="AI163" s="3"/>
      <c r="AJ163" s="3"/>
      <c r="AK163" s="3"/>
      <c r="AL163" s="29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BL163" s="3"/>
      <c r="BM163" s="3"/>
    </row>
    <row r="164" spans="1:65" s="4" customFormat="1" ht="57" hidden="1" customHeight="1" x14ac:dyDescent="0.25">
      <c r="A164" s="56" t="s">
        <v>245</v>
      </c>
      <c r="B164" s="13" t="s">
        <v>5</v>
      </c>
      <c r="C164" s="53" t="s">
        <v>246</v>
      </c>
      <c r="D164" s="45">
        <f>+D165</f>
        <v>900</v>
      </c>
      <c r="E164" s="45">
        <f t="shared" ref="E164:F164" si="52">+E165</f>
        <v>900</v>
      </c>
      <c r="F164" s="45">
        <f t="shared" si="52"/>
        <v>900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109"/>
      <c r="V164" s="3"/>
      <c r="W164" s="3"/>
      <c r="X164" s="3"/>
      <c r="Y164" s="3"/>
      <c r="AB164" s="5"/>
      <c r="AC164" s="5"/>
      <c r="AD164" s="5"/>
      <c r="AE164" s="5"/>
      <c r="AF164" s="5"/>
      <c r="AG164" s="5"/>
      <c r="AH164" s="3"/>
      <c r="AI164" s="3"/>
      <c r="AJ164" s="3"/>
      <c r="AK164" s="3"/>
      <c r="AL164" s="29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BL164" s="3"/>
      <c r="BM164" s="3"/>
    </row>
    <row r="165" spans="1:65" s="4" customFormat="1" ht="69.599999999999994" hidden="1" customHeight="1" x14ac:dyDescent="0.25">
      <c r="A165" s="61" t="s">
        <v>243</v>
      </c>
      <c r="B165" s="13" t="s">
        <v>128</v>
      </c>
      <c r="C165" s="53" t="s">
        <v>242</v>
      </c>
      <c r="D165" s="45">
        <v>900</v>
      </c>
      <c r="E165" s="45">
        <v>900</v>
      </c>
      <c r="F165" s="45">
        <v>900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109"/>
      <c r="V165" s="3"/>
      <c r="W165" s="3"/>
      <c r="X165" s="3"/>
      <c r="Y165" s="3"/>
      <c r="AB165" s="5"/>
      <c r="AC165" s="5"/>
      <c r="AD165" s="5"/>
      <c r="AE165" s="5"/>
      <c r="AF165" s="5"/>
      <c r="AG165" s="5"/>
      <c r="AH165" s="3"/>
      <c r="AI165" s="3"/>
      <c r="AJ165" s="3"/>
      <c r="AK165" s="3"/>
      <c r="AL165" s="29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BL165" s="3"/>
      <c r="BM165" s="3"/>
    </row>
    <row r="166" spans="1:65" s="4" customFormat="1" ht="52.8" hidden="1" x14ac:dyDescent="0.25">
      <c r="A166" s="56" t="s">
        <v>144</v>
      </c>
      <c r="B166" s="13" t="s">
        <v>5</v>
      </c>
      <c r="C166" s="53" t="s">
        <v>145</v>
      </c>
      <c r="D166" s="45">
        <f>+D167</f>
        <v>14000</v>
      </c>
      <c r="E166" s="45">
        <f t="shared" ref="E166:F166" si="53">+E167</f>
        <v>14000</v>
      </c>
      <c r="F166" s="45">
        <f t="shared" si="53"/>
        <v>14000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109"/>
      <c r="V166" s="3"/>
      <c r="W166" s="3"/>
      <c r="X166" s="3"/>
      <c r="Y166" s="3"/>
      <c r="AB166" s="5"/>
      <c r="AC166" s="5"/>
      <c r="AD166" s="5"/>
      <c r="AE166" s="5"/>
      <c r="AF166" s="5"/>
      <c r="AG166" s="5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BL166" s="3"/>
      <c r="BM166" s="3"/>
    </row>
    <row r="167" spans="1:65" s="4" customFormat="1" ht="66" hidden="1" x14ac:dyDescent="0.25">
      <c r="A167" s="56" t="s">
        <v>146</v>
      </c>
      <c r="B167" s="13" t="s">
        <v>128</v>
      </c>
      <c r="C167" s="53" t="s">
        <v>147</v>
      </c>
      <c r="D167" s="45">
        <f>1500+6100+6400</f>
        <v>14000</v>
      </c>
      <c r="E167" s="45">
        <f t="shared" ref="E167:F167" si="54">1500+6100+6400</f>
        <v>14000</v>
      </c>
      <c r="F167" s="45">
        <f t="shared" si="54"/>
        <v>14000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109"/>
      <c r="V167" s="3"/>
      <c r="W167" s="3"/>
      <c r="X167" s="3"/>
      <c r="Y167" s="3"/>
      <c r="AB167" s="5"/>
      <c r="AC167" s="5"/>
      <c r="AD167" s="5"/>
      <c r="AE167" s="5"/>
      <c r="AF167" s="5"/>
      <c r="AG167" s="5"/>
      <c r="AH167" s="3"/>
      <c r="AI167" s="3"/>
      <c r="AJ167" s="3"/>
      <c r="AK167" s="3"/>
      <c r="AL167" s="29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BL167" s="3"/>
      <c r="BM167" s="3"/>
    </row>
    <row r="168" spans="1:65" s="4" customFormat="1" ht="39.6" hidden="1" x14ac:dyDescent="0.25">
      <c r="A168" s="56" t="s">
        <v>148</v>
      </c>
      <c r="B168" s="13" t="s">
        <v>5</v>
      </c>
      <c r="C168" s="53" t="s">
        <v>149</v>
      </c>
      <c r="D168" s="45">
        <f>+D169+D170</f>
        <v>484800</v>
      </c>
      <c r="E168" s="45">
        <f t="shared" ref="E168:F168" si="55">+E169+E170</f>
        <v>484900</v>
      </c>
      <c r="F168" s="45">
        <f t="shared" si="55"/>
        <v>485100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109"/>
      <c r="V168" s="3"/>
      <c r="W168" s="3"/>
      <c r="X168" s="3"/>
      <c r="Y168" s="3"/>
      <c r="AB168" s="5"/>
      <c r="AC168" s="5"/>
      <c r="AD168" s="5"/>
      <c r="AE168" s="5"/>
      <c r="AF168" s="5"/>
      <c r="AG168" s="5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BL168" s="3"/>
      <c r="BM168" s="3"/>
    </row>
    <row r="169" spans="1:65" s="4" customFormat="1" ht="66" hidden="1" x14ac:dyDescent="0.25">
      <c r="A169" s="56" t="s">
        <v>150</v>
      </c>
      <c r="B169" s="13" t="s">
        <v>126</v>
      </c>
      <c r="C169" s="53" t="s">
        <v>151</v>
      </c>
      <c r="D169" s="45">
        <v>3200</v>
      </c>
      <c r="E169" s="45">
        <v>3300</v>
      </c>
      <c r="F169" s="45">
        <v>3500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109"/>
      <c r="V169" s="3"/>
      <c r="W169" s="3"/>
      <c r="X169" s="3"/>
      <c r="Y169" s="3"/>
      <c r="AB169" s="5"/>
      <c r="AC169" s="5"/>
      <c r="AD169" s="5"/>
      <c r="AE169" s="5"/>
      <c r="AF169" s="5"/>
      <c r="AG169" s="5"/>
      <c r="AH169" s="3"/>
      <c r="AI169" s="3"/>
      <c r="AJ169" s="3"/>
      <c r="AK169" s="3"/>
      <c r="AL169" s="29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BL169" s="3"/>
      <c r="BM169" s="3"/>
    </row>
    <row r="170" spans="1:65" s="4" customFormat="1" ht="66" hidden="1" x14ac:dyDescent="0.25">
      <c r="A170" s="56" t="s">
        <v>150</v>
      </c>
      <c r="B170" s="13" t="s">
        <v>128</v>
      </c>
      <c r="C170" s="53" t="s">
        <v>151</v>
      </c>
      <c r="D170" s="45">
        <f>19300+100+1200+428600+10000+22400</f>
        <v>481600</v>
      </c>
      <c r="E170" s="45">
        <f>19300+100+1200+428600+10000+22400</f>
        <v>481600</v>
      </c>
      <c r="F170" s="45">
        <f>19300+100+1200+428600+10000+22400</f>
        <v>481600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109"/>
      <c r="V170" s="3"/>
      <c r="W170" s="3"/>
      <c r="X170" s="3"/>
      <c r="Y170" s="3"/>
      <c r="AB170" s="5"/>
      <c r="AC170" s="5"/>
      <c r="AD170" s="5"/>
      <c r="AE170" s="5"/>
      <c r="AF170" s="5"/>
      <c r="AG170" s="5"/>
      <c r="AH170" s="3"/>
      <c r="AI170" s="3"/>
      <c r="AJ170" s="3"/>
      <c r="AK170" s="3"/>
      <c r="AL170" s="29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BL170" s="3"/>
      <c r="BM170" s="3"/>
    </row>
    <row r="171" spans="1:65" s="4" customFormat="1" ht="52.8" hidden="1" x14ac:dyDescent="0.25">
      <c r="A171" s="56" t="s">
        <v>152</v>
      </c>
      <c r="B171" s="13" t="s">
        <v>5</v>
      </c>
      <c r="C171" s="53" t="s">
        <v>153</v>
      </c>
      <c r="D171" s="45">
        <f>+D172+D173</f>
        <v>1085700</v>
      </c>
      <c r="E171" s="45">
        <f t="shared" ref="E171:F171" si="56">+E172+E173</f>
        <v>1086700</v>
      </c>
      <c r="F171" s="45">
        <f t="shared" si="56"/>
        <v>1087800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109"/>
      <c r="V171" s="3"/>
      <c r="W171" s="3"/>
      <c r="X171" s="3"/>
      <c r="Y171" s="3"/>
      <c r="AB171" s="5"/>
      <c r="AC171" s="5"/>
      <c r="AD171" s="5"/>
      <c r="AE171" s="5"/>
      <c r="AF171" s="5"/>
      <c r="AG171" s="5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BL171" s="3"/>
      <c r="BM171" s="3"/>
    </row>
    <row r="172" spans="1:65" s="4" customFormat="1" ht="79.2" hidden="1" x14ac:dyDescent="0.25">
      <c r="A172" s="56" t="s">
        <v>154</v>
      </c>
      <c r="B172" s="13" t="s">
        <v>126</v>
      </c>
      <c r="C172" s="53" t="s">
        <v>155</v>
      </c>
      <c r="D172" s="45">
        <f>400+24700</f>
        <v>25100</v>
      </c>
      <c r="E172" s="45">
        <f>400+25700</f>
        <v>26100</v>
      </c>
      <c r="F172" s="45">
        <f>400+26800</f>
        <v>27200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109"/>
      <c r="V172" s="3"/>
      <c r="W172" s="3"/>
      <c r="X172" s="3"/>
      <c r="Y172" s="3"/>
      <c r="AB172" s="5"/>
      <c r="AC172" s="5"/>
      <c r="AD172" s="5"/>
      <c r="AE172" s="5"/>
      <c r="AF172" s="5"/>
      <c r="AG172" s="5"/>
      <c r="AH172" s="3"/>
      <c r="AI172" s="3"/>
      <c r="AJ172" s="3"/>
      <c r="AK172" s="3"/>
      <c r="AL172" s="29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BL172" s="3"/>
      <c r="BM172" s="3"/>
    </row>
    <row r="173" spans="1:65" s="4" customFormat="1" ht="79.2" hidden="1" x14ac:dyDescent="0.25">
      <c r="A173" s="56" t="s">
        <v>154</v>
      </c>
      <c r="B173" s="13" t="s">
        <v>128</v>
      </c>
      <c r="C173" s="53" t="s">
        <v>155</v>
      </c>
      <c r="D173" s="45">
        <f>31400+3100+19800+6800+17500+1900+980100</f>
        <v>1060600</v>
      </c>
      <c r="E173" s="45">
        <f>31400+3100+19800+6800+17500+1900+980100</f>
        <v>1060600</v>
      </c>
      <c r="F173" s="45">
        <f>31400+3100+19800+6800+17500+1900+980100</f>
        <v>1060600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109"/>
      <c r="V173" s="3"/>
      <c r="W173" s="3"/>
      <c r="X173" s="3"/>
      <c r="Y173" s="3"/>
      <c r="AB173" s="5"/>
      <c r="AC173" s="5"/>
      <c r="AD173" s="5"/>
      <c r="AE173" s="5"/>
      <c r="AF173" s="5"/>
      <c r="AG173" s="5"/>
      <c r="AH173" s="3"/>
      <c r="AI173" s="3"/>
      <c r="AJ173" s="3"/>
      <c r="AK173" s="3"/>
      <c r="AL173" s="29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BL173" s="3"/>
      <c r="BM173" s="3"/>
    </row>
    <row r="174" spans="1:65" s="4" customFormat="1" ht="29.4" customHeight="1" x14ac:dyDescent="0.25">
      <c r="A174" s="56" t="s">
        <v>156</v>
      </c>
      <c r="B174" s="30" t="s">
        <v>5</v>
      </c>
      <c r="C174" s="96" t="s">
        <v>325</v>
      </c>
      <c r="D174" s="45">
        <f>+D175</f>
        <v>444992.04000000004</v>
      </c>
      <c r="E174" s="45">
        <f>+E175</f>
        <v>249809.45</v>
      </c>
      <c r="F174" s="45">
        <f>+F175</f>
        <v>272400.37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109"/>
      <c r="V174" s="3"/>
      <c r="W174" s="3"/>
      <c r="X174" s="3"/>
      <c r="Y174" s="3"/>
      <c r="AB174" s="5"/>
      <c r="AC174" s="5"/>
      <c r="AD174" s="5"/>
      <c r="AE174" s="5"/>
      <c r="AF174" s="5"/>
      <c r="AG174" s="5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BL174" s="3"/>
      <c r="BM174" s="3"/>
    </row>
    <row r="175" spans="1:65" s="4" customFormat="1" ht="52.8" hidden="1" x14ac:dyDescent="0.25">
      <c r="A175" s="56" t="s">
        <v>222</v>
      </c>
      <c r="B175" s="30" t="s">
        <v>157</v>
      </c>
      <c r="C175" s="96" t="s">
        <v>158</v>
      </c>
      <c r="D175" s="45">
        <f>259253.64+185738.4</f>
        <v>444992.04000000004</v>
      </c>
      <c r="E175" s="45">
        <v>249809.45</v>
      </c>
      <c r="F175" s="45">
        <v>272400.37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109"/>
      <c r="V175" s="3"/>
      <c r="W175" s="3"/>
      <c r="X175" s="3"/>
      <c r="Y175" s="3"/>
      <c r="AB175" s="5"/>
      <c r="AC175" s="5"/>
      <c r="AD175" s="5"/>
      <c r="AE175" s="5"/>
      <c r="AF175" s="5"/>
      <c r="AG175" s="5"/>
      <c r="AH175" s="3"/>
      <c r="AI175" s="3"/>
      <c r="AJ175" s="3"/>
      <c r="AK175" s="3"/>
      <c r="AL175" s="111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BL175" s="3"/>
      <c r="BM175" s="3"/>
    </row>
    <row r="176" spans="1:65" s="4" customFormat="1" ht="94.95" customHeight="1" x14ac:dyDescent="0.25">
      <c r="A176" s="56" t="s">
        <v>159</v>
      </c>
      <c r="B176" s="13" t="s">
        <v>5</v>
      </c>
      <c r="C176" s="22" t="s">
        <v>326</v>
      </c>
      <c r="D176" s="45">
        <f>+D179+D177</f>
        <v>5429837.9499999993</v>
      </c>
      <c r="E176" s="45">
        <f>+E179+E177</f>
        <v>9279598</v>
      </c>
      <c r="F176" s="45">
        <f t="shared" ref="F176" si="57">+F179+F177</f>
        <v>9660062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109"/>
      <c r="V176" s="3"/>
      <c r="W176" s="3"/>
      <c r="X176" s="3"/>
      <c r="Y176" s="3"/>
      <c r="AB176" s="5"/>
      <c r="AC176" s="5"/>
      <c r="AD176" s="5"/>
      <c r="AE176" s="5"/>
      <c r="AF176" s="5"/>
      <c r="AG176" s="5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BL176" s="3"/>
      <c r="BM176" s="3"/>
    </row>
    <row r="177" spans="1:65" s="4" customFormat="1" ht="52.8" hidden="1" x14ac:dyDescent="0.25">
      <c r="A177" s="134" t="s">
        <v>442</v>
      </c>
      <c r="B177" s="106" t="s">
        <v>5</v>
      </c>
      <c r="C177" s="135" t="s">
        <v>444</v>
      </c>
      <c r="D177" s="45">
        <f>+D178</f>
        <v>19024.93</v>
      </c>
      <c r="E177" s="45">
        <f t="shared" ref="E177:F177" si="58">+E178</f>
        <v>0</v>
      </c>
      <c r="F177" s="45">
        <f t="shared" si="58"/>
        <v>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109"/>
      <c r="V177" s="3"/>
      <c r="W177" s="3"/>
      <c r="X177" s="3"/>
      <c r="Y177" s="3"/>
      <c r="AB177" s="5"/>
      <c r="AC177" s="5"/>
      <c r="AD177" s="5"/>
      <c r="AE177" s="5"/>
      <c r="AF177" s="5"/>
      <c r="AG177" s="5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BL177" s="3"/>
      <c r="BM177" s="3"/>
    </row>
    <row r="178" spans="1:65" s="4" customFormat="1" ht="66" hidden="1" x14ac:dyDescent="0.25">
      <c r="A178" s="134" t="s">
        <v>443</v>
      </c>
      <c r="B178" s="106" t="s">
        <v>57</v>
      </c>
      <c r="C178" s="135" t="s">
        <v>445</v>
      </c>
      <c r="D178" s="45">
        <v>19024.93</v>
      </c>
      <c r="E178" s="45">
        <v>0</v>
      </c>
      <c r="F178" s="45">
        <v>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109"/>
      <c r="V178" s="3"/>
      <c r="W178" s="3"/>
      <c r="X178" s="3"/>
      <c r="Y178" s="3"/>
      <c r="AB178" s="5"/>
      <c r="AC178" s="5"/>
      <c r="AD178" s="5"/>
      <c r="AE178" s="5"/>
      <c r="AF178" s="5"/>
      <c r="AG178" s="5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BL178" s="3"/>
      <c r="BM178" s="3"/>
    </row>
    <row r="179" spans="1:65" s="4" customFormat="1" ht="70.8" hidden="1" customHeight="1" x14ac:dyDescent="0.25">
      <c r="A179" s="56" t="s">
        <v>160</v>
      </c>
      <c r="B179" s="13" t="s">
        <v>5</v>
      </c>
      <c r="C179" s="14" t="s">
        <v>161</v>
      </c>
      <c r="D179" s="45">
        <f>+D181+D182+D183+D184+D180</f>
        <v>5410813.0199999996</v>
      </c>
      <c r="E179" s="45">
        <f t="shared" ref="E179:F179" si="59">+E181+E182+E183+E184+E180</f>
        <v>9279598</v>
      </c>
      <c r="F179" s="45">
        <f t="shared" si="59"/>
        <v>9660062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109"/>
      <c r="V179" s="3"/>
      <c r="W179" s="3"/>
      <c r="X179" s="3"/>
      <c r="Y179" s="3"/>
      <c r="AB179" s="5"/>
      <c r="AC179" s="5"/>
      <c r="AD179" s="5"/>
      <c r="AE179" s="5"/>
      <c r="AF179" s="5"/>
      <c r="AG179" s="5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BL179" s="3"/>
      <c r="BM179" s="3"/>
    </row>
    <row r="180" spans="1:65" s="4" customFormat="1" ht="57.6" hidden="1" customHeight="1" x14ac:dyDescent="0.25">
      <c r="A180" s="56" t="s">
        <v>440</v>
      </c>
      <c r="B180" s="13" t="s">
        <v>55</v>
      </c>
      <c r="C180" s="14" t="s">
        <v>439</v>
      </c>
      <c r="D180" s="45">
        <v>4983.63</v>
      </c>
      <c r="E180" s="45">
        <v>0</v>
      </c>
      <c r="F180" s="45">
        <v>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109"/>
      <c r="V180" s="3"/>
      <c r="W180" s="3"/>
      <c r="X180" s="3"/>
      <c r="Y180" s="3"/>
      <c r="AB180" s="5"/>
      <c r="AC180" s="5"/>
      <c r="AD180" s="5"/>
      <c r="AE180" s="5"/>
      <c r="AF180" s="5"/>
      <c r="AG180" s="5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BL180" s="3"/>
      <c r="BM180" s="3"/>
    </row>
    <row r="181" spans="1:65" s="4" customFormat="1" ht="67.2" hidden="1" customHeight="1" x14ac:dyDescent="0.25">
      <c r="A181" s="56" t="s">
        <v>285</v>
      </c>
      <c r="B181" s="13" t="s">
        <v>55</v>
      </c>
      <c r="C181" s="14" t="s">
        <v>162</v>
      </c>
      <c r="D181" s="45">
        <v>543984</v>
      </c>
      <c r="E181" s="45">
        <v>568463</v>
      </c>
      <c r="F181" s="45">
        <v>591770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109"/>
      <c r="V181" s="3"/>
      <c r="W181" s="3"/>
      <c r="X181" s="3"/>
      <c r="Y181" s="3"/>
      <c r="AB181" s="5"/>
      <c r="AC181" s="5"/>
      <c r="AD181" s="5"/>
      <c r="AE181" s="5"/>
      <c r="AF181" s="5"/>
      <c r="AG181" s="5"/>
      <c r="AH181" s="3"/>
      <c r="AI181" s="3"/>
      <c r="AJ181" s="3"/>
      <c r="AK181" s="3"/>
      <c r="AL181" s="31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BL181" s="3"/>
      <c r="BM181" s="3"/>
    </row>
    <row r="182" spans="1:65" s="4" customFormat="1" ht="69" hidden="1" customHeight="1" x14ac:dyDescent="0.25">
      <c r="A182" s="56" t="s">
        <v>286</v>
      </c>
      <c r="B182" s="13" t="s">
        <v>55</v>
      </c>
      <c r="C182" s="14" t="s">
        <v>163</v>
      </c>
      <c r="D182" s="45">
        <f>8336015-3579395.45</f>
        <v>4756619.55</v>
      </c>
      <c r="E182" s="45">
        <v>8711135</v>
      </c>
      <c r="F182" s="45">
        <v>9068292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109"/>
      <c r="V182" s="3"/>
      <c r="W182" s="3"/>
      <c r="X182" s="3"/>
      <c r="Y182" s="3"/>
      <c r="AB182" s="5"/>
      <c r="AC182" s="5"/>
      <c r="AD182" s="5"/>
      <c r="AE182" s="5"/>
      <c r="AF182" s="5"/>
      <c r="AG182" s="5"/>
      <c r="AH182" s="3"/>
      <c r="AI182" s="3"/>
      <c r="AJ182" s="3"/>
      <c r="AK182" s="3"/>
      <c r="AL182" s="31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BL182" s="3"/>
      <c r="BM182" s="3"/>
    </row>
    <row r="183" spans="1:65" s="4" customFormat="1" ht="55.2" hidden="1" customHeight="1" x14ac:dyDescent="0.25">
      <c r="A183" s="56" t="s">
        <v>440</v>
      </c>
      <c r="B183" s="13" t="s">
        <v>157</v>
      </c>
      <c r="C183" s="14" t="s">
        <v>439</v>
      </c>
      <c r="D183" s="45">
        <v>8933.51</v>
      </c>
      <c r="E183" s="45">
        <v>0</v>
      </c>
      <c r="F183" s="45">
        <v>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109"/>
      <c r="V183" s="3"/>
      <c r="W183" s="3"/>
      <c r="X183" s="3"/>
      <c r="Y183" s="3"/>
      <c r="AB183" s="5"/>
      <c r="AC183" s="5"/>
      <c r="AD183" s="5"/>
      <c r="AE183" s="5"/>
      <c r="AF183" s="5"/>
      <c r="AG183" s="5"/>
      <c r="AH183" s="3"/>
      <c r="AI183" s="3"/>
      <c r="AJ183" s="3"/>
      <c r="AK183" s="3"/>
      <c r="AL183" s="31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BL183" s="3"/>
      <c r="BM183" s="3"/>
    </row>
    <row r="184" spans="1:65" s="4" customFormat="1" ht="59.4" hidden="1" customHeight="1" x14ac:dyDescent="0.25">
      <c r="A184" s="56" t="s">
        <v>440</v>
      </c>
      <c r="B184" s="13" t="s">
        <v>57</v>
      </c>
      <c r="C184" s="14" t="s">
        <v>439</v>
      </c>
      <c r="D184" s="45">
        <v>96292.33</v>
      </c>
      <c r="E184" s="45">
        <v>0</v>
      </c>
      <c r="F184" s="45">
        <v>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109"/>
      <c r="V184" s="3"/>
      <c r="W184" s="3"/>
      <c r="X184" s="3"/>
      <c r="Y184" s="3"/>
      <c r="AB184" s="5"/>
      <c r="AC184" s="5"/>
      <c r="AD184" s="5"/>
      <c r="AE184" s="5"/>
      <c r="AF184" s="5"/>
      <c r="AG184" s="5"/>
      <c r="AH184" s="3"/>
      <c r="AI184" s="3"/>
      <c r="AJ184" s="3"/>
      <c r="AK184" s="3"/>
      <c r="AL184" s="31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BL184" s="3"/>
      <c r="BM184" s="3"/>
    </row>
    <row r="185" spans="1:65" s="4" customFormat="1" ht="18.600000000000001" customHeight="1" x14ac:dyDescent="0.25">
      <c r="A185" s="71" t="s">
        <v>164</v>
      </c>
      <c r="B185" s="13" t="s">
        <v>5</v>
      </c>
      <c r="C185" s="32" t="s">
        <v>327</v>
      </c>
      <c r="D185" s="45">
        <f>+D189+D186</f>
        <v>57391.38</v>
      </c>
      <c r="E185" s="45">
        <f>+E189</f>
        <v>1000</v>
      </c>
      <c r="F185" s="45">
        <f>+F189</f>
        <v>1000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109"/>
      <c r="V185" s="3"/>
      <c r="W185" s="3"/>
      <c r="X185" s="3"/>
      <c r="Y185" s="3"/>
      <c r="AB185" s="5"/>
      <c r="AC185" s="5"/>
      <c r="AD185" s="5"/>
      <c r="AE185" s="5"/>
      <c r="AF185" s="5"/>
      <c r="AG185" s="5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BL185" s="3"/>
      <c r="BM185" s="3"/>
    </row>
    <row r="186" spans="1:65" s="4" customFormat="1" ht="82.8" hidden="1" customHeight="1" x14ac:dyDescent="0.25">
      <c r="A186" s="114" t="s">
        <v>446</v>
      </c>
      <c r="B186" s="13" t="s">
        <v>5</v>
      </c>
      <c r="C186" s="73" t="s">
        <v>451</v>
      </c>
      <c r="D186" s="45">
        <f>+D187+D188</f>
        <v>56391.38</v>
      </c>
      <c r="E186" s="45">
        <f t="shared" ref="E186:F186" si="60">+E187+E188</f>
        <v>0</v>
      </c>
      <c r="F186" s="45">
        <f t="shared" si="60"/>
        <v>0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109"/>
      <c r="V186" s="3"/>
      <c r="W186" s="3"/>
      <c r="X186" s="3"/>
      <c r="Y186" s="3"/>
      <c r="AB186" s="5"/>
      <c r="AC186" s="5"/>
      <c r="AD186" s="5"/>
      <c r="AE186" s="5"/>
      <c r="AF186" s="5"/>
      <c r="AG186" s="5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BL186" s="3"/>
      <c r="BM186" s="3"/>
    </row>
    <row r="187" spans="1:65" s="4" customFormat="1" ht="43.2" hidden="1" customHeight="1" x14ac:dyDescent="0.25">
      <c r="A187" s="93" t="s">
        <v>448</v>
      </c>
      <c r="B187" s="13" t="s">
        <v>57</v>
      </c>
      <c r="C187" s="115" t="s">
        <v>450</v>
      </c>
      <c r="D187" s="45">
        <v>28821.78</v>
      </c>
      <c r="E187" s="45">
        <v>0</v>
      </c>
      <c r="F187" s="45">
        <v>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109"/>
      <c r="V187" s="3"/>
      <c r="W187" s="3"/>
      <c r="X187" s="3"/>
      <c r="Y187" s="3"/>
      <c r="AB187" s="5"/>
      <c r="AC187" s="5"/>
      <c r="AD187" s="5"/>
      <c r="AE187" s="5"/>
      <c r="AF187" s="5"/>
      <c r="AG187" s="5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BL187" s="3"/>
      <c r="BM187" s="3"/>
    </row>
    <row r="188" spans="1:65" s="4" customFormat="1" ht="58.8" hidden="1" customHeight="1" x14ac:dyDescent="0.25">
      <c r="A188" s="114" t="s">
        <v>447</v>
      </c>
      <c r="B188" s="13" t="s">
        <v>57</v>
      </c>
      <c r="C188" s="73" t="s">
        <v>449</v>
      </c>
      <c r="D188" s="45">
        <v>27569.599999999999</v>
      </c>
      <c r="E188" s="45">
        <v>0</v>
      </c>
      <c r="F188" s="45">
        <v>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109"/>
      <c r="V188" s="3"/>
      <c r="W188" s="3"/>
      <c r="X188" s="3"/>
      <c r="Y188" s="3"/>
      <c r="AB188" s="5"/>
      <c r="AC188" s="5"/>
      <c r="AD188" s="5"/>
      <c r="AE188" s="5"/>
      <c r="AF188" s="5"/>
      <c r="AG188" s="5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BL188" s="3"/>
      <c r="BM188" s="3"/>
    </row>
    <row r="189" spans="1:65" s="4" customFormat="1" ht="70.2" hidden="1" customHeight="1" x14ac:dyDescent="0.25">
      <c r="A189" s="56" t="s">
        <v>165</v>
      </c>
      <c r="B189" s="13" t="s">
        <v>5</v>
      </c>
      <c r="C189" s="14" t="s">
        <v>509</v>
      </c>
      <c r="D189" s="45">
        <f>+D190</f>
        <v>1000</v>
      </c>
      <c r="E189" s="45">
        <f t="shared" ref="E189:F190" si="61">+E190</f>
        <v>1000</v>
      </c>
      <c r="F189" s="45">
        <f t="shared" si="61"/>
        <v>1000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109"/>
      <c r="V189" s="3"/>
      <c r="W189" s="3"/>
      <c r="X189" s="3"/>
      <c r="Y189" s="3"/>
      <c r="AB189" s="5"/>
      <c r="AC189" s="5"/>
      <c r="AD189" s="5"/>
      <c r="AE189" s="5"/>
      <c r="AF189" s="5"/>
      <c r="AG189" s="5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BL189" s="3"/>
      <c r="BM189" s="3"/>
    </row>
    <row r="190" spans="1:65" s="4" customFormat="1" ht="52.8" hidden="1" x14ac:dyDescent="0.25">
      <c r="A190" s="56" t="s">
        <v>201</v>
      </c>
      <c r="B190" s="13" t="s">
        <v>5</v>
      </c>
      <c r="C190" s="14" t="s">
        <v>167</v>
      </c>
      <c r="D190" s="45">
        <f>+D191</f>
        <v>1000</v>
      </c>
      <c r="E190" s="45">
        <f t="shared" si="61"/>
        <v>1000</v>
      </c>
      <c r="F190" s="45">
        <f t="shared" si="61"/>
        <v>1000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109"/>
      <c r="V190" s="3"/>
      <c r="W190" s="3"/>
      <c r="X190" s="3"/>
      <c r="Y190" s="3"/>
      <c r="AB190" s="5"/>
      <c r="AC190" s="5"/>
      <c r="AD190" s="5"/>
      <c r="AE190" s="5"/>
      <c r="AF190" s="5"/>
      <c r="AG190" s="5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BL190" s="3"/>
      <c r="BM190" s="3"/>
    </row>
    <row r="191" spans="1:65" s="4" customFormat="1" ht="111.6" hidden="1" customHeight="1" x14ac:dyDescent="0.25">
      <c r="A191" s="56" t="s">
        <v>166</v>
      </c>
      <c r="B191" s="13" t="s">
        <v>228</v>
      </c>
      <c r="C191" s="14" t="s">
        <v>168</v>
      </c>
      <c r="D191" s="45">
        <v>1000</v>
      </c>
      <c r="E191" s="45">
        <v>1000</v>
      </c>
      <c r="F191" s="45">
        <v>1000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109"/>
      <c r="V191" s="3"/>
      <c r="W191" s="3"/>
      <c r="X191" s="3"/>
      <c r="Y191" s="3"/>
      <c r="AB191" s="5"/>
      <c r="AC191" s="5"/>
      <c r="AD191" s="5"/>
      <c r="AE191" s="5"/>
      <c r="AF191" s="5"/>
      <c r="AG191" s="5"/>
      <c r="AH191" s="3"/>
      <c r="AI191" s="3"/>
      <c r="AJ191" s="3"/>
      <c r="AK191" s="3"/>
      <c r="AL191" s="29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BL191" s="3"/>
      <c r="BM191" s="3"/>
    </row>
    <row r="192" spans="1:65" s="4" customFormat="1" ht="92.4" customHeight="1" x14ac:dyDescent="0.25">
      <c r="A192" s="97" t="s">
        <v>274</v>
      </c>
      <c r="B192" s="30" t="s">
        <v>8</v>
      </c>
      <c r="C192" s="98" t="s">
        <v>328</v>
      </c>
      <c r="D192" s="45">
        <f>2650000+1491179</f>
        <v>4141179</v>
      </c>
      <c r="E192" s="45">
        <v>2700000</v>
      </c>
      <c r="F192" s="45">
        <v>2750000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109"/>
      <c r="V192" s="3"/>
      <c r="W192" s="3"/>
      <c r="X192" s="3"/>
      <c r="Y192" s="3"/>
      <c r="AB192" s="5"/>
      <c r="AC192" s="5"/>
      <c r="AD192" s="5"/>
      <c r="AE192" s="5"/>
      <c r="AF192" s="5"/>
      <c r="AG192" s="5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BL192" s="3"/>
      <c r="BM192" s="3"/>
    </row>
    <row r="193" spans="1:65" s="4" customFormat="1" ht="14.4" customHeight="1" x14ac:dyDescent="0.25">
      <c r="A193" s="56" t="s">
        <v>169</v>
      </c>
      <c r="B193" s="13" t="s">
        <v>5</v>
      </c>
      <c r="C193" s="14" t="s">
        <v>329</v>
      </c>
      <c r="D193" s="45">
        <f t="shared" ref="D193:F195" si="62">+D194</f>
        <v>315169</v>
      </c>
      <c r="E193" s="45">
        <f t="shared" si="62"/>
        <v>135435</v>
      </c>
      <c r="F193" s="45">
        <f t="shared" si="62"/>
        <v>12694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109"/>
      <c r="V193" s="3"/>
      <c r="W193" s="3"/>
      <c r="X193" s="3"/>
      <c r="Y193" s="3"/>
      <c r="AB193" s="5"/>
      <c r="AC193" s="5"/>
      <c r="AD193" s="5"/>
      <c r="AE193" s="5"/>
      <c r="AF193" s="5"/>
      <c r="AG193" s="5"/>
      <c r="AH193" s="3"/>
      <c r="AI193" s="3"/>
      <c r="AJ193" s="3"/>
      <c r="AK193" s="3"/>
      <c r="AL193" s="3"/>
      <c r="AM193" s="3"/>
      <c r="AN193" s="3"/>
      <c r="AO193" s="3"/>
      <c r="AP193" s="3"/>
      <c r="AQ193" s="6"/>
      <c r="AR193" s="6"/>
      <c r="AS193" s="3"/>
      <c r="AT193" s="3"/>
      <c r="AU193" s="3"/>
      <c r="AV193" s="3"/>
      <c r="BL193" s="3"/>
      <c r="BM193" s="3"/>
    </row>
    <row r="194" spans="1:65" s="4" customFormat="1" ht="16.95" customHeight="1" x14ac:dyDescent="0.25">
      <c r="A194" s="56" t="s">
        <v>170</v>
      </c>
      <c r="B194" s="13" t="s">
        <v>5</v>
      </c>
      <c r="C194" s="14" t="s">
        <v>330</v>
      </c>
      <c r="D194" s="45">
        <f t="shared" si="62"/>
        <v>315169</v>
      </c>
      <c r="E194" s="45">
        <f t="shared" si="62"/>
        <v>135435</v>
      </c>
      <c r="F194" s="45">
        <f t="shared" si="62"/>
        <v>12694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109"/>
      <c r="V194" s="3"/>
      <c r="W194" s="3"/>
      <c r="X194" s="3"/>
      <c r="Y194" s="3"/>
      <c r="AB194" s="5"/>
      <c r="AC194" s="5"/>
      <c r="AD194" s="5"/>
      <c r="AE194" s="5"/>
      <c r="AF194" s="5"/>
      <c r="AG194" s="5"/>
      <c r="AH194" s="3"/>
      <c r="AI194" s="3"/>
      <c r="AJ194" s="3"/>
      <c r="AK194" s="3"/>
      <c r="AL194" s="3"/>
      <c r="AM194" s="3"/>
      <c r="AN194" s="3"/>
      <c r="AO194" s="3"/>
      <c r="AP194" s="3"/>
      <c r="AQ194" s="6"/>
      <c r="AR194" s="6"/>
      <c r="AS194" s="3"/>
      <c r="AT194" s="3"/>
      <c r="AU194" s="3"/>
      <c r="AV194" s="3"/>
      <c r="BL194" s="3"/>
      <c r="BM194" s="3"/>
    </row>
    <row r="195" spans="1:65" s="4" customFormat="1" ht="17.399999999999999" hidden="1" customHeight="1" x14ac:dyDescent="0.25">
      <c r="A195" s="56" t="s">
        <v>171</v>
      </c>
      <c r="B195" s="13" t="s">
        <v>5</v>
      </c>
      <c r="C195" s="14" t="s">
        <v>172</v>
      </c>
      <c r="D195" s="45">
        <f t="shared" si="62"/>
        <v>315169</v>
      </c>
      <c r="E195" s="45">
        <f t="shared" si="62"/>
        <v>135435</v>
      </c>
      <c r="F195" s="45">
        <f t="shared" si="62"/>
        <v>12694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109"/>
      <c r="V195" s="3"/>
      <c r="W195" s="3"/>
      <c r="X195" s="3"/>
      <c r="Y195" s="3"/>
      <c r="AB195" s="5"/>
      <c r="AC195" s="5"/>
      <c r="AD195" s="5"/>
      <c r="AE195" s="5"/>
      <c r="AF195" s="5"/>
      <c r="AG195" s="5"/>
      <c r="AH195" s="3"/>
      <c r="AI195" s="3"/>
      <c r="AJ195" s="3"/>
      <c r="AK195" s="3"/>
      <c r="AL195" s="3"/>
      <c r="AM195" s="3"/>
      <c r="AN195" s="3"/>
      <c r="AO195" s="3"/>
      <c r="AP195" s="3"/>
      <c r="AQ195" s="6"/>
      <c r="AR195" s="6"/>
      <c r="AS195" s="3"/>
      <c r="AT195" s="3"/>
      <c r="AU195" s="3"/>
      <c r="AV195" s="3"/>
      <c r="BL195" s="3"/>
      <c r="BM195" s="3"/>
    </row>
    <row r="196" spans="1:65" s="4" customFormat="1" ht="30.6" hidden="1" customHeight="1" x14ac:dyDescent="0.25">
      <c r="A196" s="58" t="s">
        <v>173</v>
      </c>
      <c r="B196" s="13" t="s">
        <v>55</v>
      </c>
      <c r="C196" s="14" t="s">
        <v>174</v>
      </c>
      <c r="D196" s="45">
        <v>315169</v>
      </c>
      <c r="E196" s="45">
        <v>135435</v>
      </c>
      <c r="F196" s="45">
        <v>12694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109"/>
      <c r="V196" s="3"/>
      <c r="W196" s="3"/>
      <c r="X196" s="3"/>
      <c r="Y196" s="3"/>
      <c r="AB196" s="5"/>
      <c r="AC196" s="5"/>
      <c r="AD196" s="5"/>
      <c r="AE196" s="5"/>
      <c r="AF196" s="5"/>
      <c r="AG196" s="5"/>
      <c r="AH196" s="3"/>
      <c r="AI196" s="3"/>
      <c r="AJ196" s="3"/>
      <c r="AK196" s="3"/>
      <c r="AL196" s="3"/>
      <c r="AM196" s="3"/>
      <c r="AN196" s="3"/>
      <c r="AO196" s="3"/>
      <c r="AP196" s="3"/>
      <c r="AQ196" s="6"/>
      <c r="AR196" s="6"/>
      <c r="AS196" s="3"/>
      <c r="AT196" s="3"/>
      <c r="AU196" s="3"/>
      <c r="AV196" s="3"/>
      <c r="BL196" s="3"/>
      <c r="BM196" s="3"/>
    </row>
    <row r="197" spans="1:65" s="4" customFormat="1" ht="16.2" customHeight="1" x14ac:dyDescent="0.25">
      <c r="A197" s="58" t="s">
        <v>175</v>
      </c>
      <c r="B197" s="13" t="s">
        <v>5</v>
      </c>
      <c r="C197" s="14" t="s">
        <v>331</v>
      </c>
      <c r="D197" s="45">
        <f>+D198+D266+D271+D262</f>
        <v>3703778878.54</v>
      </c>
      <c r="E197" s="45">
        <f t="shared" ref="E197:F197" si="63">+E198+E266+E271</f>
        <v>2762060010.9099998</v>
      </c>
      <c r="F197" s="45">
        <f t="shared" si="63"/>
        <v>2831831117.4299998</v>
      </c>
      <c r="G197" s="21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109"/>
      <c r="V197" s="3"/>
      <c r="W197" s="3"/>
      <c r="X197" s="3"/>
      <c r="Y197" s="3"/>
      <c r="AA197" s="11"/>
      <c r="AB197" s="5"/>
      <c r="AC197" s="5"/>
      <c r="AD197" s="5"/>
      <c r="AE197" s="5"/>
      <c r="AF197" s="5"/>
      <c r="AG197" s="5"/>
      <c r="AH197" s="3"/>
      <c r="AI197" s="3"/>
      <c r="AJ197" s="3"/>
      <c r="AK197" s="3"/>
      <c r="AL197" s="3"/>
      <c r="AM197" s="3"/>
      <c r="AN197" s="3"/>
      <c r="AO197" s="3"/>
      <c r="AP197" s="3"/>
      <c r="AQ197" s="6"/>
      <c r="AR197" s="6"/>
      <c r="AS197" s="3"/>
      <c r="AT197" s="3"/>
      <c r="AU197" s="3"/>
      <c r="AV197" s="3"/>
      <c r="BL197" s="3"/>
      <c r="BM197" s="3"/>
    </row>
    <row r="198" spans="1:65" s="4" customFormat="1" ht="27.6" customHeight="1" x14ac:dyDescent="0.25">
      <c r="A198" s="65" t="s">
        <v>176</v>
      </c>
      <c r="B198" s="13" t="s">
        <v>5</v>
      </c>
      <c r="C198" s="14" t="s">
        <v>332</v>
      </c>
      <c r="D198" s="45">
        <f>+D199+D204+D237+D253</f>
        <v>3698255395.3200002</v>
      </c>
      <c r="E198" s="45">
        <f t="shared" ref="E198:F198" si="64">+E199+E204+E237+E253</f>
        <v>2762060010.9099998</v>
      </c>
      <c r="F198" s="45">
        <f t="shared" si="64"/>
        <v>2831831117.4299998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109"/>
      <c r="V198" s="3"/>
      <c r="W198" s="3"/>
      <c r="X198" s="3"/>
      <c r="Y198" s="3"/>
      <c r="AB198" s="5"/>
      <c r="AC198" s="5"/>
      <c r="AD198" s="5"/>
      <c r="AE198" s="5"/>
      <c r="AF198" s="5"/>
      <c r="AG198" s="5"/>
      <c r="AH198" s="3"/>
      <c r="AI198" s="3"/>
      <c r="AJ198" s="3"/>
      <c r="AK198" s="3"/>
      <c r="AL198" s="3"/>
      <c r="AM198" s="3"/>
      <c r="AN198" s="3"/>
      <c r="AO198" s="3"/>
      <c r="AP198" s="3"/>
      <c r="AQ198" s="6"/>
      <c r="AR198" s="6"/>
      <c r="AS198" s="3"/>
      <c r="AT198" s="3"/>
      <c r="AU198" s="3"/>
      <c r="AV198" s="3"/>
      <c r="BL198" s="3"/>
      <c r="BM198" s="3"/>
    </row>
    <row r="199" spans="1:65" s="4" customFormat="1" ht="15.6" customHeight="1" x14ac:dyDescent="0.25">
      <c r="A199" s="65" t="s">
        <v>177</v>
      </c>
      <c r="B199" s="13" t="s">
        <v>5</v>
      </c>
      <c r="C199" s="14" t="s">
        <v>333</v>
      </c>
      <c r="D199" s="45">
        <f>+D200+D202</f>
        <v>436205400</v>
      </c>
      <c r="E199" s="45">
        <f t="shared" ref="E199:F199" si="65">+E200+E202</f>
        <v>155406600</v>
      </c>
      <c r="F199" s="45">
        <f t="shared" si="65"/>
        <v>61000500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109"/>
      <c r="V199" s="3"/>
      <c r="W199" s="3"/>
      <c r="X199" s="3"/>
      <c r="Y199" s="3"/>
      <c r="AB199" s="5"/>
      <c r="AC199" s="5"/>
      <c r="AD199" s="5"/>
      <c r="AE199" s="5"/>
      <c r="AF199" s="5"/>
      <c r="AG199" s="5"/>
      <c r="AH199" s="3"/>
      <c r="AI199" s="3"/>
      <c r="AJ199" s="3"/>
      <c r="AK199" s="3"/>
      <c r="AL199" s="3"/>
      <c r="AM199" s="3"/>
      <c r="AN199" s="3"/>
      <c r="AO199" s="3"/>
      <c r="AP199" s="3"/>
      <c r="AQ199" s="6"/>
      <c r="AR199" s="6"/>
      <c r="AS199" s="3"/>
      <c r="AT199" s="3"/>
      <c r="AU199" s="3"/>
      <c r="AV199" s="3"/>
      <c r="BL199" s="3"/>
      <c r="BM199" s="3"/>
    </row>
    <row r="200" spans="1:65" s="4" customFormat="1" ht="18" customHeight="1" x14ac:dyDescent="0.25">
      <c r="A200" s="57" t="s">
        <v>178</v>
      </c>
      <c r="B200" s="13" t="s">
        <v>5</v>
      </c>
      <c r="C200" s="22" t="s">
        <v>334</v>
      </c>
      <c r="D200" s="45">
        <f>+D201</f>
        <v>368613400</v>
      </c>
      <c r="E200" s="45">
        <f t="shared" ref="E200:F200" si="66">+E201</f>
        <v>155406600</v>
      </c>
      <c r="F200" s="45">
        <f t="shared" si="66"/>
        <v>61000500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109"/>
      <c r="V200" s="3"/>
      <c r="W200" s="3"/>
      <c r="X200" s="3"/>
      <c r="Y200" s="3"/>
      <c r="AB200" s="5"/>
      <c r="AC200" s="5"/>
      <c r="AD200" s="5"/>
      <c r="AE200" s="5"/>
      <c r="AF200" s="5"/>
      <c r="AG200" s="5"/>
      <c r="AH200" s="3"/>
      <c r="AI200" s="3"/>
      <c r="AJ200" s="3"/>
      <c r="AK200" s="3"/>
      <c r="AL200" s="3"/>
      <c r="AM200" s="3"/>
      <c r="AN200" s="3"/>
      <c r="AO200" s="3"/>
      <c r="AP200" s="3"/>
      <c r="AQ200" s="6"/>
      <c r="AR200" s="6"/>
      <c r="AS200" s="3"/>
      <c r="AT200" s="3"/>
      <c r="AU200" s="3"/>
      <c r="AV200" s="3"/>
      <c r="BL200" s="3"/>
      <c r="BM200" s="3"/>
    </row>
    <row r="201" spans="1:65" s="4" customFormat="1" ht="41.4" hidden="1" customHeight="1" x14ac:dyDescent="0.25">
      <c r="A201" s="57" t="s">
        <v>179</v>
      </c>
      <c r="B201" s="13" t="s">
        <v>180</v>
      </c>
      <c r="C201" s="14" t="s">
        <v>181</v>
      </c>
      <c r="D201" s="45">
        <v>368613400</v>
      </c>
      <c r="E201" s="45">
        <v>155406600</v>
      </c>
      <c r="F201" s="45">
        <v>61000500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109"/>
      <c r="V201" s="3"/>
      <c r="W201" s="3"/>
      <c r="X201" s="3"/>
      <c r="Y201" s="3"/>
      <c r="AB201" s="5"/>
      <c r="AC201" s="5"/>
      <c r="AD201" s="5"/>
      <c r="AE201" s="5"/>
      <c r="AF201" s="5"/>
      <c r="AG201" s="5"/>
      <c r="AH201" s="3"/>
      <c r="AI201" s="3"/>
      <c r="AJ201" s="3"/>
      <c r="AK201" s="3"/>
      <c r="AL201" s="3"/>
      <c r="AM201" s="3"/>
      <c r="AN201" s="3"/>
      <c r="AO201" s="3"/>
      <c r="AP201" s="3"/>
      <c r="AQ201" s="6"/>
      <c r="AR201" s="6"/>
      <c r="AS201" s="3"/>
      <c r="AT201" s="3"/>
      <c r="AU201" s="3"/>
      <c r="AV201" s="3"/>
      <c r="BL201" s="3"/>
      <c r="BM201" s="3"/>
    </row>
    <row r="202" spans="1:65" s="4" customFormat="1" ht="28.95" customHeight="1" x14ac:dyDescent="0.25">
      <c r="A202" s="56" t="s">
        <v>346</v>
      </c>
      <c r="B202" s="13" t="s">
        <v>5</v>
      </c>
      <c r="C202" s="53" t="s">
        <v>364</v>
      </c>
      <c r="D202" s="45">
        <f>+D203</f>
        <v>67592000</v>
      </c>
      <c r="E202" s="45">
        <f t="shared" ref="E202:F202" si="67">+E203</f>
        <v>0</v>
      </c>
      <c r="F202" s="45">
        <f t="shared" si="67"/>
        <v>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109"/>
      <c r="V202" s="3"/>
      <c r="W202" s="3"/>
      <c r="X202" s="3"/>
      <c r="Y202" s="3"/>
      <c r="AB202" s="5"/>
      <c r="AC202" s="5"/>
      <c r="AD202" s="5"/>
      <c r="AE202" s="5"/>
      <c r="AF202" s="5"/>
      <c r="AG202" s="5"/>
      <c r="AH202" s="3"/>
      <c r="AI202" s="3"/>
      <c r="AJ202" s="3"/>
      <c r="AK202" s="3"/>
      <c r="AL202" s="3"/>
      <c r="AM202" s="3"/>
      <c r="AN202" s="3"/>
      <c r="AO202" s="3"/>
      <c r="AP202" s="3"/>
      <c r="AQ202" s="6"/>
      <c r="AR202" s="6"/>
      <c r="AS202" s="3"/>
      <c r="AT202" s="3"/>
      <c r="AU202" s="3"/>
      <c r="AV202" s="3"/>
      <c r="BL202" s="3"/>
      <c r="BM202" s="3"/>
    </row>
    <row r="203" spans="1:65" s="4" customFormat="1" ht="26.4" hidden="1" customHeight="1" x14ac:dyDescent="0.25">
      <c r="A203" s="57" t="s">
        <v>347</v>
      </c>
      <c r="B203" s="13" t="s">
        <v>180</v>
      </c>
      <c r="C203" s="14" t="s">
        <v>348</v>
      </c>
      <c r="D203" s="45">
        <v>67592000</v>
      </c>
      <c r="E203" s="45">
        <v>0</v>
      </c>
      <c r="F203" s="45"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109"/>
      <c r="V203" s="3"/>
      <c r="W203" s="3"/>
      <c r="X203" s="3"/>
      <c r="Y203" s="3"/>
      <c r="AB203" s="5"/>
      <c r="AC203" s="5"/>
      <c r="AD203" s="5"/>
      <c r="AE203" s="5"/>
      <c r="AF203" s="5"/>
      <c r="AG203" s="5"/>
      <c r="AH203" s="3"/>
      <c r="AI203" s="3"/>
      <c r="AJ203" s="3"/>
      <c r="AK203" s="3"/>
      <c r="AL203" s="3"/>
      <c r="AM203" s="3"/>
      <c r="AN203" s="3"/>
      <c r="AO203" s="3"/>
      <c r="AP203" s="3"/>
      <c r="AQ203" s="6"/>
      <c r="AR203" s="6"/>
      <c r="AS203" s="3"/>
      <c r="AT203" s="3"/>
      <c r="AU203" s="3"/>
      <c r="AV203" s="3"/>
      <c r="BL203" s="3"/>
      <c r="BM203" s="3"/>
    </row>
    <row r="204" spans="1:65" s="4" customFormat="1" ht="28.95" customHeight="1" x14ac:dyDescent="0.25">
      <c r="A204" s="58" t="s">
        <v>182</v>
      </c>
      <c r="B204" s="13" t="s">
        <v>5</v>
      </c>
      <c r="C204" s="13" t="s">
        <v>335</v>
      </c>
      <c r="D204" s="45">
        <f>+D221+D205+D207+D211+D215+D219+D209+D213+D217</f>
        <v>718485795.32000005</v>
      </c>
      <c r="E204" s="45">
        <f t="shared" ref="E204:F204" si="68">+E221+E205+E207+E211+E215+E219+E209+E213+E217</f>
        <v>187951410.91</v>
      </c>
      <c r="F204" s="45">
        <f t="shared" si="68"/>
        <v>352144117.43000001</v>
      </c>
      <c r="G204" s="21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109"/>
      <c r="V204" s="3"/>
      <c r="W204" s="3"/>
      <c r="X204" s="3"/>
      <c r="Y204" s="3"/>
      <c r="AB204" s="5"/>
      <c r="AC204" s="5"/>
      <c r="AD204" s="5"/>
      <c r="AE204" s="5"/>
      <c r="AF204" s="5"/>
      <c r="AG204" s="5"/>
      <c r="AH204" s="3"/>
      <c r="AI204" s="3"/>
      <c r="AJ204" s="3"/>
      <c r="AK204" s="3"/>
      <c r="AL204" s="3"/>
      <c r="AM204" s="3"/>
      <c r="AN204" s="3"/>
      <c r="AO204" s="3"/>
      <c r="AP204" s="3"/>
      <c r="AQ204" s="6"/>
      <c r="AR204" s="6"/>
      <c r="AS204" s="3"/>
      <c r="AT204" s="3"/>
      <c r="AU204" s="3"/>
      <c r="AV204" s="3"/>
      <c r="BL204" s="3"/>
      <c r="BM204" s="3"/>
    </row>
    <row r="205" spans="1:65" s="4" customFormat="1" ht="43.2" customHeight="1" x14ac:dyDescent="0.25">
      <c r="A205" s="58" t="s">
        <v>372</v>
      </c>
      <c r="B205" s="13" t="s">
        <v>5</v>
      </c>
      <c r="C205" s="13" t="s">
        <v>365</v>
      </c>
      <c r="D205" s="45">
        <f>+D206</f>
        <v>17508771.829999998</v>
      </c>
      <c r="E205" s="45">
        <f t="shared" ref="E205:F205" si="69">+E206</f>
        <v>0</v>
      </c>
      <c r="F205" s="45">
        <f t="shared" si="69"/>
        <v>0</v>
      </c>
      <c r="G205" s="21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109"/>
      <c r="V205" s="3"/>
      <c r="W205" s="3"/>
      <c r="X205" s="3"/>
      <c r="Y205" s="3"/>
      <c r="AB205" s="5"/>
      <c r="AC205" s="5"/>
      <c r="AD205" s="5"/>
      <c r="AE205" s="5"/>
      <c r="AF205" s="5"/>
      <c r="AG205" s="5"/>
      <c r="AH205" s="3"/>
      <c r="AI205" s="3"/>
      <c r="AJ205" s="3"/>
      <c r="AK205" s="3"/>
      <c r="AL205" s="3"/>
      <c r="AM205" s="3"/>
      <c r="AN205" s="3"/>
      <c r="AO205" s="3"/>
      <c r="AP205" s="3"/>
      <c r="AQ205" s="6"/>
      <c r="AR205" s="6"/>
      <c r="AS205" s="3"/>
      <c r="AT205" s="3"/>
      <c r="AU205" s="3"/>
      <c r="AV205" s="3"/>
      <c r="BL205" s="3"/>
      <c r="BM205" s="3"/>
    </row>
    <row r="206" spans="1:65" s="4" customFormat="1" ht="41.4" hidden="1" customHeight="1" x14ac:dyDescent="0.25">
      <c r="A206" s="58" t="s">
        <v>373</v>
      </c>
      <c r="B206" s="13" t="s">
        <v>267</v>
      </c>
      <c r="C206" s="13" t="s">
        <v>349</v>
      </c>
      <c r="D206" s="45">
        <f>17508800-28.17</f>
        <v>17508771.829999998</v>
      </c>
      <c r="E206" s="45">
        <v>0</v>
      </c>
      <c r="F206" s="45">
        <v>0</v>
      </c>
      <c r="G206" s="21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109"/>
      <c r="V206" s="3"/>
      <c r="W206" s="3"/>
      <c r="X206" s="3"/>
      <c r="Y206" s="3"/>
      <c r="AB206" s="5"/>
      <c r="AC206" s="5"/>
      <c r="AD206" s="5"/>
      <c r="AE206" s="5"/>
      <c r="AF206" s="5"/>
      <c r="AG206" s="5"/>
      <c r="AH206" s="3"/>
      <c r="AI206" s="3"/>
      <c r="AJ206" s="3"/>
      <c r="AK206" s="3"/>
      <c r="AL206" s="3"/>
      <c r="AM206" s="3"/>
      <c r="AN206" s="3"/>
      <c r="AO206" s="3"/>
      <c r="AP206" s="3"/>
      <c r="AQ206" s="6"/>
      <c r="AR206" s="6"/>
      <c r="AS206" s="3"/>
      <c r="AT206" s="3"/>
      <c r="AU206" s="3"/>
      <c r="AV206" s="3"/>
      <c r="BL206" s="3"/>
      <c r="BM206" s="3"/>
    </row>
    <row r="207" spans="1:65" s="4" customFormat="1" ht="57" customHeight="1" x14ac:dyDescent="0.25">
      <c r="A207" s="58" t="s">
        <v>350</v>
      </c>
      <c r="B207" s="13" t="s">
        <v>5</v>
      </c>
      <c r="C207" s="13" t="s">
        <v>366</v>
      </c>
      <c r="D207" s="45">
        <f>+D208</f>
        <v>57610500</v>
      </c>
      <c r="E207" s="45">
        <f t="shared" ref="E207:F207" si="70">+E208</f>
        <v>51338300</v>
      </c>
      <c r="F207" s="45">
        <f t="shared" si="70"/>
        <v>49846300</v>
      </c>
      <c r="G207" s="21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109"/>
      <c r="V207" s="3"/>
      <c r="W207" s="3"/>
      <c r="X207" s="3"/>
      <c r="Y207" s="3"/>
      <c r="AB207" s="5"/>
      <c r="AC207" s="5"/>
      <c r="AD207" s="5"/>
      <c r="AE207" s="5"/>
      <c r="AF207" s="5"/>
      <c r="AG207" s="5"/>
      <c r="AH207" s="3"/>
      <c r="AI207" s="3"/>
      <c r="AJ207" s="3"/>
      <c r="AK207" s="3"/>
      <c r="AL207" s="3"/>
      <c r="AM207" s="3"/>
      <c r="AN207" s="3"/>
      <c r="AO207" s="3"/>
      <c r="AP207" s="3"/>
      <c r="AQ207" s="6"/>
      <c r="AR207" s="6"/>
      <c r="AS207" s="3"/>
      <c r="AT207" s="3"/>
      <c r="AU207" s="3"/>
      <c r="AV207" s="3"/>
      <c r="BL207" s="3"/>
      <c r="BM207" s="3"/>
    </row>
    <row r="208" spans="1:65" s="4" customFormat="1" ht="10.199999999999999" hidden="1" customHeight="1" x14ac:dyDescent="0.25">
      <c r="A208" s="58" t="s">
        <v>351</v>
      </c>
      <c r="B208" s="13" t="s">
        <v>183</v>
      </c>
      <c r="C208" s="13" t="s">
        <v>352</v>
      </c>
      <c r="D208" s="45">
        <v>57610500</v>
      </c>
      <c r="E208" s="45">
        <v>51338300</v>
      </c>
      <c r="F208" s="45">
        <v>49846300</v>
      </c>
      <c r="G208" s="21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109"/>
      <c r="V208" s="3"/>
      <c r="W208" s="3"/>
      <c r="X208" s="3"/>
      <c r="Y208" s="3"/>
      <c r="AB208" s="5"/>
      <c r="AC208" s="5"/>
      <c r="AD208" s="5"/>
      <c r="AE208" s="5"/>
      <c r="AF208" s="5"/>
      <c r="AG208" s="5"/>
      <c r="AH208" s="3"/>
      <c r="AI208" s="3"/>
      <c r="AJ208" s="3"/>
      <c r="AK208" s="3"/>
      <c r="AL208" s="3"/>
      <c r="AM208" s="3"/>
      <c r="AN208" s="3"/>
      <c r="AO208" s="3"/>
      <c r="AP208" s="3"/>
      <c r="AQ208" s="6"/>
      <c r="AR208" s="6"/>
      <c r="AS208" s="3"/>
      <c r="AT208" s="3"/>
      <c r="AU208" s="3"/>
      <c r="AV208" s="3"/>
      <c r="BL208" s="3"/>
      <c r="BM208" s="3"/>
    </row>
    <row r="209" spans="1:65" s="4" customFormat="1" ht="55.2" customHeight="1" x14ac:dyDescent="0.25">
      <c r="A209" s="58" t="s">
        <v>374</v>
      </c>
      <c r="B209" s="13" t="s">
        <v>5</v>
      </c>
      <c r="C209" s="13" t="s">
        <v>426</v>
      </c>
      <c r="D209" s="45">
        <f>+D210</f>
        <v>123000000</v>
      </c>
      <c r="E209" s="45">
        <f t="shared" ref="E209:F209" si="71">+E210</f>
        <v>0</v>
      </c>
      <c r="F209" s="45">
        <f t="shared" si="71"/>
        <v>0</v>
      </c>
      <c r="G209" s="21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109"/>
      <c r="V209" s="3"/>
      <c r="W209" s="3"/>
      <c r="X209" s="3"/>
      <c r="Y209" s="3"/>
      <c r="AB209" s="5"/>
      <c r="AC209" s="5"/>
      <c r="AD209" s="5"/>
      <c r="AE209" s="5"/>
      <c r="AF209" s="5"/>
      <c r="AG209" s="5"/>
      <c r="AH209" s="3"/>
      <c r="AI209" s="3"/>
      <c r="AJ209" s="3"/>
      <c r="AK209" s="3"/>
      <c r="AL209" s="3"/>
      <c r="AM209" s="3"/>
      <c r="AN209" s="3"/>
      <c r="AO209" s="3"/>
      <c r="AP209" s="3"/>
      <c r="AQ209" s="6"/>
      <c r="AR209" s="6"/>
      <c r="AS209" s="3"/>
      <c r="AT209" s="3"/>
      <c r="AU209" s="3"/>
      <c r="AV209" s="3"/>
      <c r="BL209" s="3"/>
      <c r="BM209" s="3"/>
    </row>
    <row r="210" spans="1:65" s="4" customFormat="1" ht="55.2" hidden="1" customHeight="1" x14ac:dyDescent="0.25">
      <c r="A210" s="58" t="s">
        <v>375</v>
      </c>
      <c r="B210" s="13" t="s">
        <v>57</v>
      </c>
      <c r="C210" s="13" t="s">
        <v>376</v>
      </c>
      <c r="D210" s="45">
        <v>123000000</v>
      </c>
      <c r="E210" s="45">
        <v>0</v>
      </c>
      <c r="F210" s="45">
        <v>0</v>
      </c>
      <c r="G210" s="21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109"/>
      <c r="V210" s="3"/>
      <c r="W210" s="3"/>
      <c r="X210" s="3"/>
      <c r="Y210" s="3"/>
      <c r="AB210" s="5"/>
      <c r="AC210" s="5"/>
      <c r="AD210" s="5"/>
      <c r="AE210" s="5"/>
      <c r="AF210" s="5"/>
      <c r="AG210" s="5"/>
      <c r="AH210" s="3"/>
      <c r="AI210" s="3"/>
      <c r="AJ210" s="3"/>
      <c r="AK210" s="3"/>
      <c r="AL210" s="3"/>
      <c r="AM210" s="3"/>
      <c r="AN210" s="3"/>
      <c r="AO210" s="3"/>
      <c r="AP210" s="3"/>
      <c r="AQ210" s="6"/>
      <c r="AR210" s="6"/>
      <c r="AS210" s="3"/>
      <c r="AT210" s="3"/>
      <c r="AU210" s="3"/>
      <c r="AV210" s="3"/>
      <c r="BL210" s="3"/>
      <c r="BM210" s="3"/>
    </row>
    <row r="211" spans="1:65" s="4" customFormat="1" ht="55.2" customHeight="1" x14ac:dyDescent="0.25">
      <c r="A211" s="100" t="s">
        <v>353</v>
      </c>
      <c r="B211" s="30" t="s">
        <v>5</v>
      </c>
      <c r="C211" s="30" t="s">
        <v>367</v>
      </c>
      <c r="D211" s="45">
        <f>D212</f>
        <v>3191522.7</v>
      </c>
      <c r="E211" s="45">
        <f>E212</f>
        <v>3793090.91</v>
      </c>
      <c r="F211" s="45">
        <f>F212</f>
        <v>6137287.4299999997</v>
      </c>
      <c r="G211" s="21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109"/>
      <c r="V211" s="3"/>
      <c r="W211" s="3"/>
      <c r="X211" s="3"/>
      <c r="Y211" s="3"/>
      <c r="AB211" s="5"/>
      <c r="AC211" s="5"/>
      <c r="AD211" s="5"/>
      <c r="AE211" s="5"/>
      <c r="AF211" s="5"/>
      <c r="AG211" s="5"/>
      <c r="AH211" s="3"/>
      <c r="AI211" s="3"/>
      <c r="AJ211" s="3"/>
      <c r="AK211" s="3"/>
      <c r="AL211" s="3"/>
      <c r="AM211" s="3"/>
      <c r="AN211" s="3"/>
      <c r="AO211" s="3"/>
      <c r="AP211" s="3"/>
      <c r="AQ211" s="6"/>
      <c r="AR211" s="6"/>
      <c r="AS211" s="3"/>
      <c r="AT211" s="3"/>
      <c r="AU211" s="3"/>
      <c r="AV211" s="3"/>
      <c r="BL211" s="3"/>
      <c r="BM211" s="3"/>
    </row>
    <row r="212" spans="1:65" s="4" customFormat="1" ht="54.6" hidden="1" customHeight="1" x14ac:dyDescent="0.25">
      <c r="A212" s="100" t="s">
        <v>354</v>
      </c>
      <c r="B212" s="13" t="s">
        <v>184</v>
      </c>
      <c r="C212" s="13" t="s">
        <v>355</v>
      </c>
      <c r="D212" s="45">
        <f>3191500+22.7</f>
        <v>3191522.7</v>
      </c>
      <c r="E212" s="45">
        <f>3793100-9.09</f>
        <v>3793090.91</v>
      </c>
      <c r="F212" s="45">
        <f>6137300-12.57</f>
        <v>6137287.4299999997</v>
      </c>
      <c r="G212" s="21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109"/>
      <c r="V212" s="3"/>
      <c r="W212" s="3"/>
      <c r="X212" s="3"/>
      <c r="Y212" s="3"/>
      <c r="AB212" s="5"/>
      <c r="AC212" s="5"/>
      <c r="AD212" s="5"/>
      <c r="AE212" s="5"/>
      <c r="AF212" s="5"/>
      <c r="AG212" s="5"/>
      <c r="AH212" s="3"/>
      <c r="AI212" s="3"/>
      <c r="AJ212" s="3"/>
      <c r="AK212" s="3"/>
      <c r="AL212" s="3"/>
      <c r="AM212" s="3"/>
      <c r="AN212" s="3"/>
      <c r="AO212" s="3"/>
      <c r="AP212" s="3"/>
      <c r="AQ212" s="6"/>
      <c r="AR212" s="6"/>
      <c r="AS212" s="3"/>
      <c r="AT212" s="3"/>
      <c r="AU212" s="3"/>
      <c r="AV212" s="3"/>
      <c r="BL212" s="3"/>
      <c r="BM212" s="3"/>
    </row>
    <row r="213" spans="1:65" s="4" customFormat="1" ht="30" customHeight="1" x14ac:dyDescent="0.25">
      <c r="A213" s="100" t="s">
        <v>391</v>
      </c>
      <c r="B213" s="13" t="s">
        <v>5</v>
      </c>
      <c r="C213" s="13" t="s">
        <v>424</v>
      </c>
      <c r="D213" s="45">
        <f>+D214</f>
        <v>15896504.470000001</v>
      </c>
      <c r="E213" s="45">
        <f t="shared" ref="E213:F213" si="72">+E214</f>
        <v>0</v>
      </c>
      <c r="F213" s="45">
        <f t="shared" si="72"/>
        <v>0</v>
      </c>
      <c r="G213" s="21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109"/>
      <c r="V213" s="3"/>
      <c r="W213" s="3"/>
      <c r="X213" s="3"/>
      <c r="Y213" s="3"/>
      <c r="AB213" s="5"/>
      <c r="AC213" s="5"/>
      <c r="AD213" s="5"/>
      <c r="AE213" s="5"/>
      <c r="AF213" s="5"/>
      <c r="AG213" s="5"/>
      <c r="AH213" s="3"/>
      <c r="AI213" s="3"/>
      <c r="AJ213" s="3"/>
      <c r="AK213" s="3"/>
      <c r="AL213" s="3"/>
      <c r="AM213" s="3"/>
      <c r="AN213" s="3"/>
      <c r="AO213" s="3"/>
      <c r="AP213" s="3"/>
      <c r="AQ213" s="6"/>
      <c r="AR213" s="6"/>
      <c r="AS213" s="3"/>
      <c r="AT213" s="3"/>
      <c r="AU213" s="3"/>
      <c r="AV213" s="3"/>
      <c r="BL213" s="3"/>
      <c r="BM213" s="3"/>
    </row>
    <row r="214" spans="1:65" s="4" customFormat="1" ht="28.2" hidden="1" customHeight="1" x14ac:dyDescent="0.25">
      <c r="A214" s="100" t="s">
        <v>392</v>
      </c>
      <c r="B214" s="13" t="s">
        <v>267</v>
      </c>
      <c r="C214" s="13" t="s">
        <v>393</v>
      </c>
      <c r="D214" s="45">
        <v>15896504.470000001</v>
      </c>
      <c r="E214" s="45">
        <v>0</v>
      </c>
      <c r="F214" s="45">
        <v>0</v>
      </c>
      <c r="G214" s="21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109"/>
      <c r="V214" s="3"/>
      <c r="W214" s="3"/>
      <c r="X214" s="3"/>
      <c r="Y214" s="3"/>
      <c r="AB214" s="5"/>
      <c r="AC214" s="5"/>
      <c r="AD214" s="5"/>
      <c r="AE214" s="5"/>
      <c r="AF214" s="5"/>
      <c r="AG214" s="5"/>
      <c r="AH214" s="3"/>
      <c r="AI214" s="3"/>
      <c r="AJ214" s="3"/>
      <c r="AK214" s="3"/>
      <c r="AL214" s="3"/>
      <c r="AM214" s="3"/>
      <c r="AN214" s="3"/>
      <c r="AO214" s="3"/>
      <c r="AP214" s="3"/>
      <c r="AQ214" s="6"/>
      <c r="AR214" s="6"/>
      <c r="AS214" s="3"/>
      <c r="AT214" s="3"/>
      <c r="AU214" s="3"/>
      <c r="AV214" s="3"/>
      <c r="BL214" s="3"/>
      <c r="BM214" s="3"/>
    </row>
    <row r="215" spans="1:65" s="4" customFormat="1" ht="19.2" customHeight="1" x14ac:dyDescent="0.25">
      <c r="A215" s="100" t="s">
        <v>356</v>
      </c>
      <c r="B215" s="13" t="s">
        <v>5</v>
      </c>
      <c r="C215" s="13" t="s">
        <v>368</v>
      </c>
      <c r="D215" s="45">
        <f>+D216</f>
        <v>1096470</v>
      </c>
      <c r="E215" s="45">
        <f t="shared" ref="E215:F215" si="73">+E216</f>
        <v>1098320</v>
      </c>
      <c r="F215" s="45">
        <f t="shared" si="73"/>
        <v>1031030</v>
      </c>
      <c r="G215" s="21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109"/>
      <c r="V215" s="3"/>
      <c r="W215" s="3"/>
      <c r="X215" s="3"/>
      <c r="Y215" s="3"/>
      <c r="AB215" s="5"/>
      <c r="AC215" s="5"/>
      <c r="AD215" s="5"/>
      <c r="AE215" s="5"/>
      <c r="AF215" s="5"/>
      <c r="AG215" s="5"/>
      <c r="AH215" s="3"/>
      <c r="AI215" s="3"/>
      <c r="AJ215" s="3"/>
      <c r="AK215" s="3"/>
      <c r="AL215" s="3"/>
      <c r="AM215" s="3"/>
      <c r="AN215" s="3"/>
      <c r="AO215" s="3"/>
      <c r="AP215" s="3"/>
      <c r="AQ215" s="6"/>
      <c r="AR215" s="6"/>
      <c r="AS215" s="3"/>
      <c r="AT215" s="3"/>
      <c r="AU215" s="3"/>
      <c r="AV215" s="3"/>
      <c r="BL215" s="3"/>
      <c r="BM215" s="3"/>
    </row>
    <row r="216" spans="1:65" s="4" customFormat="1" ht="31.2" hidden="1" customHeight="1" x14ac:dyDescent="0.25">
      <c r="A216" s="100" t="s">
        <v>357</v>
      </c>
      <c r="B216" s="13" t="s">
        <v>184</v>
      </c>
      <c r="C216" s="13" t="s">
        <v>358</v>
      </c>
      <c r="D216" s="45">
        <f>1096500-30</f>
        <v>1096470</v>
      </c>
      <c r="E216" s="45">
        <f>1098300+20</f>
        <v>1098320</v>
      </c>
      <c r="F216" s="45">
        <f>1031000+30</f>
        <v>1031030</v>
      </c>
      <c r="G216" s="21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109"/>
      <c r="V216" s="3"/>
      <c r="W216" s="3"/>
      <c r="X216" s="3"/>
      <c r="Y216" s="3"/>
      <c r="AB216" s="5"/>
      <c r="AC216" s="5"/>
      <c r="AD216" s="5"/>
      <c r="AE216" s="5"/>
      <c r="AF216" s="5"/>
      <c r="AG216" s="5"/>
      <c r="AH216" s="3"/>
      <c r="AI216" s="3"/>
      <c r="AJ216" s="3"/>
      <c r="AK216" s="3"/>
      <c r="AL216" s="3"/>
      <c r="AM216" s="3"/>
      <c r="AN216" s="3"/>
      <c r="AO216" s="3"/>
      <c r="AP216" s="3"/>
      <c r="AQ216" s="6"/>
      <c r="AR216" s="6"/>
      <c r="AS216" s="3"/>
      <c r="AT216" s="3"/>
      <c r="AU216" s="3"/>
      <c r="AV216" s="3"/>
      <c r="BL216" s="3"/>
      <c r="BM216" s="3"/>
    </row>
    <row r="217" spans="1:65" s="4" customFormat="1" ht="31.2" customHeight="1" x14ac:dyDescent="0.25">
      <c r="A217" s="100" t="s">
        <v>394</v>
      </c>
      <c r="B217" s="13" t="s">
        <v>5</v>
      </c>
      <c r="C217" s="13" t="s">
        <v>425</v>
      </c>
      <c r="D217" s="45">
        <f>+D218</f>
        <v>27799543.32</v>
      </c>
      <c r="E217" s="45">
        <f t="shared" ref="E217:F217" si="74">+E218</f>
        <v>0</v>
      </c>
      <c r="F217" s="45">
        <f t="shared" si="74"/>
        <v>0</v>
      </c>
      <c r="G217" s="21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109"/>
      <c r="V217" s="3"/>
      <c r="W217" s="3"/>
      <c r="X217" s="3"/>
      <c r="Y217" s="3"/>
      <c r="AB217" s="5"/>
      <c r="AC217" s="5"/>
      <c r="AD217" s="5"/>
      <c r="AE217" s="5"/>
      <c r="AF217" s="5"/>
      <c r="AG217" s="5"/>
      <c r="AH217" s="3"/>
      <c r="AI217" s="3"/>
      <c r="AJ217" s="3"/>
      <c r="AK217" s="3"/>
      <c r="AL217" s="3"/>
      <c r="AM217" s="3"/>
      <c r="AN217" s="3"/>
      <c r="AO217" s="3"/>
      <c r="AP217" s="3"/>
      <c r="AQ217" s="6"/>
      <c r="AR217" s="6"/>
      <c r="AS217" s="3"/>
      <c r="AT217" s="3"/>
      <c r="AU217" s="3"/>
      <c r="AV217" s="3"/>
      <c r="BL217" s="3"/>
      <c r="BM217" s="3"/>
    </row>
    <row r="218" spans="1:65" s="4" customFormat="1" ht="31.2" hidden="1" customHeight="1" x14ac:dyDescent="0.25">
      <c r="A218" s="100" t="s">
        <v>395</v>
      </c>
      <c r="B218" s="13" t="s">
        <v>57</v>
      </c>
      <c r="C218" s="13" t="s">
        <v>396</v>
      </c>
      <c r="D218" s="45">
        <f>27799600-56.68</f>
        <v>27799543.32</v>
      </c>
      <c r="E218" s="45">
        <v>0</v>
      </c>
      <c r="F218" s="45">
        <v>0</v>
      </c>
      <c r="G218" s="21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109"/>
      <c r="V218" s="3"/>
      <c r="W218" s="3"/>
      <c r="X218" s="3"/>
      <c r="Y218" s="3"/>
      <c r="AB218" s="5"/>
      <c r="AC218" s="5"/>
      <c r="AD218" s="5"/>
      <c r="AE218" s="5"/>
      <c r="AF218" s="5"/>
      <c r="AG218" s="5"/>
      <c r="AH218" s="3"/>
      <c r="AI218" s="3"/>
      <c r="AJ218" s="3"/>
      <c r="AK218" s="3"/>
      <c r="AL218" s="3"/>
      <c r="AM218" s="3"/>
      <c r="AN218" s="3"/>
      <c r="AO218" s="3"/>
      <c r="AP218" s="3"/>
      <c r="AQ218" s="6"/>
      <c r="AR218" s="6"/>
      <c r="AS218" s="3"/>
      <c r="AT218" s="3"/>
      <c r="AU218" s="3"/>
      <c r="AV218" s="3"/>
      <c r="BL218" s="3"/>
      <c r="BM218" s="3"/>
    </row>
    <row r="219" spans="1:65" s="4" customFormat="1" ht="27.6" customHeight="1" x14ac:dyDescent="0.25">
      <c r="A219" s="100" t="s">
        <v>359</v>
      </c>
      <c r="B219" s="13" t="s">
        <v>5</v>
      </c>
      <c r="C219" s="13" t="s">
        <v>369</v>
      </c>
      <c r="D219" s="45">
        <f>+D220</f>
        <v>0</v>
      </c>
      <c r="E219" s="45">
        <f t="shared" ref="E219:F219" si="75">+E220</f>
        <v>0</v>
      </c>
      <c r="F219" s="45">
        <f t="shared" si="75"/>
        <v>83147900</v>
      </c>
      <c r="G219" s="21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109"/>
      <c r="V219" s="3"/>
      <c r="W219" s="3"/>
      <c r="X219" s="3"/>
      <c r="Y219" s="3"/>
      <c r="AB219" s="5"/>
      <c r="AC219" s="5"/>
      <c r="AD219" s="5"/>
      <c r="AE219" s="5"/>
      <c r="AF219" s="5"/>
      <c r="AG219" s="5"/>
      <c r="AH219" s="3"/>
      <c r="AI219" s="3"/>
      <c r="AJ219" s="3"/>
      <c r="AK219" s="3"/>
      <c r="AL219" s="3"/>
      <c r="AM219" s="3"/>
      <c r="AN219" s="3"/>
      <c r="AO219" s="3"/>
      <c r="AP219" s="3"/>
      <c r="AQ219" s="6"/>
      <c r="AR219" s="6"/>
      <c r="AS219" s="3"/>
      <c r="AT219" s="3"/>
      <c r="AU219" s="3"/>
      <c r="AV219" s="3"/>
      <c r="BL219" s="3"/>
      <c r="BM219" s="3"/>
    </row>
    <row r="220" spans="1:65" s="4" customFormat="1" ht="29.4" hidden="1" customHeight="1" x14ac:dyDescent="0.25">
      <c r="A220" s="100" t="s">
        <v>360</v>
      </c>
      <c r="B220" s="13" t="s">
        <v>183</v>
      </c>
      <c r="C220" s="13" t="s">
        <v>361</v>
      </c>
      <c r="D220" s="45">
        <v>0</v>
      </c>
      <c r="E220" s="45">
        <v>0</v>
      </c>
      <c r="F220" s="45">
        <v>83147900</v>
      </c>
      <c r="G220" s="21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109"/>
      <c r="V220" s="3"/>
      <c r="W220" s="3"/>
      <c r="X220" s="3"/>
      <c r="Y220" s="3"/>
      <c r="AB220" s="5"/>
      <c r="AC220" s="5"/>
      <c r="AD220" s="5"/>
      <c r="AE220" s="5"/>
      <c r="AF220" s="5"/>
      <c r="AG220" s="5"/>
      <c r="AH220" s="3"/>
      <c r="AI220" s="3"/>
      <c r="AJ220" s="3"/>
      <c r="AK220" s="3"/>
      <c r="AL220" s="3"/>
      <c r="AM220" s="3"/>
      <c r="AN220" s="3"/>
      <c r="AO220" s="3"/>
      <c r="AP220" s="3"/>
      <c r="AQ220" s="6"/>
      <c r="AR220" s="6"/>
      <c r="AS220" s="3"/>
      <c r="AT220" s="3"/>
      <c r="AU220" s="3"/>
      <c r="AV220" s="3"/>
      <c r="BL220" s="3"/>
      <c r="BM220" s="3"/>
    </row>
    <row r="221" spans="1:65" s="4" customFormat="1" x14ac:dyDescent="0.25">
      <c r="A221" s="58" t="s">
        <v>185</v>
      </c>
      <c r="B221" s="13" t="s">
        <v>5</v>
      </c>
      <c r="C221" s="26" t="s">
        <v>336</v>
      </c>
      <c r="D221" s="45">
        <f>+D222</f>
        <v>472382483</v>
      </c>
      <c r="E221" s="45">
        <f>+E222</f>
        <v>131721700</v>
      </c>
      <c r="F221" s="45">
        <f>+F222</f>
        <v>211981600</v>
      </c>
      <c r="G221" s="21"/>
      <c r="H221" s="21"/>
      <c r="I221" s="21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109"/>
      <c r="V221" s="3"/>
      <c r="W221" s="3"/>
      <c r="X221" s="3"/>
      <c r="Y221" s="3"/>
      <c r="AB221" s="5"/>
      <c r="AC221" s="5"/>
      <c r="AD221" s="5"/>
      <c r="AE221" s="5"/>
      <c r="AF221" s="5"/>
      <c r="AG221" s="5"/>
      <c r="AH221" s="3"/>
      <c r="AI221" s="3"/>
      <c r="AJ221" s="3"/>
      <c r="AK221" s="3"/>
      <c r="AL221" s="3"/>
      <c r="AM221" s="3"/>
      <c r="AN221" s="3"/>
      <c r="AO221" s="3"/>
      <c r="AP221" s="3"/>
      <c r="AQ221" s="6"/>
      <c r="AR221" s="6"/>
      <c r="AS221" s="3"/>
      <c r="AT221" s="3"/>
      <c r="AU221" s="3"/>
      <c r="AV221" s="3"/>
      <c r="BL221" s="3"/>
      <c r="BM221" s="3"/>
    </row>
    <row r="222" spans="1:65" s="4" customFormat="1" ht="17.399999999999999" customHeight="1" x14ac:dyDescent="0.25">
      <c r="A222" s="58" t="s">
        <v>186</v>
      </c>
      <c r="B222" s="13" t="s">
        <v>5</v>
      </c>
      <c r="C222" s="26" t="s">
        <v>337</v>
      </c>
      <c r="D222" s="45">
        <f>+D224+D226+D227+D232+D234+D223+D225+D230+D233+D228+D229+D231+D235+D236</f>
        <v>472382483</v>
      </c>
      <c r="E222" s="45">
        <f t="shared" ref="E222:F222" si="76">+E224+E226+E227+E232+E234+E223+E225+E230+E233+E228+E229+E231+E235+E236</f>
        <v>131721700</v>
      </c>
      <c r="F222" s="45">
        <f t="shared" si="76"/>
        <v>211981600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109"/>
      <c r="V222" s="3"/>
      <c r="W222" s="3"/>
      <c r="X222" s="3"/>
      <c r="Y222" s="3"/>
      <c r="AB222" s="5"/>
      <c r="AC222" s="5"/>
      <c r="AD222" s="5"/>
      <c r="AE222" s="5"/>
      <c r="AF222" s="5"/>
      <c r="AG222" s="5"/>
      <c r="AH222" s="3"/>
      <c r="AI222" s="3"/>
      <c r="AJ222" s="3"/>
      <c r="AK222" s="3"/>
      <c r="AL222" s="3"/>
      <c r="AM222" s="3"/>
      <c r="AN222" s="3"/>
      <c r="AO222" s="3"/>
      <c r="AP222" s="3"/>
      <c r="AQ222" s="6"/>
      <c r="AR222" s="6"/>
      <c r="AS222" s="3"/>
      <c r="AT222" s="3"/>
      <c r="AU222" s="3"/>
      <c r="AV222" s="3"/>
      <c r="BL222" s="3"/>
      <c r="BM222" s="3"/>
    </row>
    <row r="223" spans="1:65" s="4" customFormat="1" ht="58.2" customHeight="1" x14ac:dyDescent="0.25">
      <c r="A223" s="56" t="s">
        <v>387</v>
      </c>
      <c r="B223" s="13" t="s">
        <v>184</v>
      </c>
      <c r="C223" s="26" t="s">
        <v>434</v>
      </c>
      <c r="D223" s="45">
        <f>50451900+7711400</f>
        <v>58163300</v>
      </c>
      <c r="E223" s="45">
        <v>0</v>
      </c>
      <c r="F223" s="45">
        <v>0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109"/>
      <c r="V223" s="3"/>
      <c r="W223" s="3"/>
      <c r="X223" s="3"/>
      <c r="Y223" s="3"/>
      <c r="AB223" s="5"/>
      <c r="AC223" s="5"/>
      <c r="AD223" s="5"/>
      <c r="AE223" s="5"/>
      <c r="AF223" s="5"/>
      <c r="AG223" s="5"/>
      <c r="AH223" s="3"/>
      <c r="AI223" s="3"/>
      <c r="AJ223" s="3"/>
      <c r="AK223" s="3"/>
      <c r="AL223" s="3"/>
      <c r="AM223" s="3"/>
      <c r="AN223" s="3"/>
      <c r="AO223" s="3"/>
      <c r="AP223" s="3"/>
      <c r="AQ223" s="6"/>
      <c r="AR223" s="6"/>
      <c r="AS223" s="3"/>
      <c r="AT223" s="3"/>
      <c r="AU223" s="3"/>
      <c r="AV223" s="3"/>
      <c r="BL223" s="3"/>
      <c r="BM223" s="3"/>
    </row>
    <row r="224" spans="1:65" s="4" customFormat="1" ht="69" customHeight="1" x14ac:dyDescent="0.25">
      <c r="A224" s="61" t="s">
        <v>187</v>
      </c>
      <c r="B224" s="13" t="s">
        <v>183</v>
      </c>
      <c r="C224" s="26" t="s">
        <v>434</v>
      </c>
      <c r="D224" s="45">
        <v>3132000</v>
      </c>
      <c r="E224" s="45">
        <v>3132000</v>
      </c>
      <c r="F224" s="45">
        <v>3103300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109"/>
      <c r="V224" s="3"/>
      <c r="W224" s="3"/>
      <c r="X224" s="3"/>
      <c r="Y224" s="3"/>
      <c r="AB224" s="5"/>
      <c r="AC224" s="5"/>
      <c r="AD224" s="5"/>
      <c r="AE224" s="5"/>
      <c r="AF224" s="5"/>
      <c r="AG224" s="5"/>
      <c r="AH224" s="3"/>
      <c r="AI224" s="3"/>
      <c r="AJ224" s="3"/>
      <c r="AK224" s="3"/>
      <c r="AL224" s="3"/>
      <c r="AM224" s="3"/>
      <c r="AN224" s="3"/>
      <c r="AO224" s="3"/>
      <c r="AP224" s="3"/>
      <c r="AQ224" s="6"/>
      <c r="AR224" s="6"/>
      <c r="AS224" s="3"/>
      <c r="AT224" s="3"/>
      <c r="AU224" s="3"/>
      <c r="AV224" s="3"/>
      <c r="BL224" s="3"/>
      <c r="BM224" s="3"/>
    </row>
    <row r="225" spans="1:66" s="4" customFormat="1" ht="69" customHeight="1" x14ac:dyDescent="0.25">
      <c r="A225" s="74" t="s">
        <v>388</v>
      </c>
      <c r="B225" s="13" t="s">
        <v>183</v>
      </c>
      <c r="C225" s="26" t="s">
        <v>434</v>
      </c>
      <c r="D225" s="45">
        <v>3294499</v>
      </c>
      <c r="E225" s="45">
        <v>0</v>
      </c>
      <c r="F225" s="45">
        <v>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109"/>
      <c r="V225" s="3"/>
      <c r="W225" s="3"/>
      <c r="X225" s="3"/>
      <c r="Y225" s="3"/>
      <c r="AB225" s="5"/>
      <c r="AC225" s="5"/>
      <c r="AD225" s="5"/>
      <c r="AE225" s="5"/>
      <c r="AF225" s="5"/>
      <c r="AG225" s="5"/>
      <c r="AH225" s="3"/>
      <c r="AI225" s="3"/>
      <c r="AJ225" s="3"/>
      <c r="AK225" s="3"/>
      <c r="AL225" s="3"/>
      <c r="AM225" s="3"/>
      <c r="AN225" s="3"/>
      <c r="AO225" s="3"/>
      <c r="AP225" s="3"/>
      <c r="AQ225" s="6"/>
      <c r="AR225" s="6"/>
      <c r="AS225" s="3"/>
      <c r="AT225" s="3"/>
      <c r="AU225" s="3"/>
      <c r="AV225" s="3"/>
      <c r="BL225" s="3"/>
      <c r="BM225" s="3"/>
    </row>
    <row r="226" spans="1:66" s="4" customFormat="1" ht="81.599999999999994" customHeight="1" x14ac:dyDescent="0.25">
      <c r="A226" s="56" t="s">
        <v>265</v>
      </c>
      <c r="B226" s="13" t="s">
        <v>183</v>
      </c>
      <c r="C226" s="26" t="s">
        <v>434</v>
      </c>
      <c r="D226" s="45">
        <f>12031800+693800+4094900</f>
        <v>16820500</v>
      </c>
      <c r="E226" s="45">
        <f>12031800+693800</f>
        <v>12725600</v>
      </c>
      <c r="F226" s="45">
        <f>11978100+689600</f>
        <v>12667700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109"/>
      <c r="V226" s="3"/>
      <c r="W226" s="3"/>
      <c r="X226" s="3"/>
      <c r="Y226" s="3"/>
      <c r="AB226" s="5"/>
      <c r="AC226" s="5"/>
      <c r="AD226" s="5"/>
      <c r="AE226" s="5"/>
      <c r="AF226" s="5"/>
      <c r="AG226" s="5"/>
      <c r="AH226" s="3"/>
      <c r="AI226" s="3"/>
      <c r="AJ226" s="3"/>
      <c r="AK226" s="3"/>
      <c r="AL226" s="3"/>
      <c r="AM226" s="3"/>
      <c r="AN226" s="3"/>
      <c r="AO226" s="3"/>
      <c r="AP226" s="3"/>
      <c r="AQ226" s="6"/>
      <c r="AR226" s="6"/>
      <c r="AS226" s="3"/>
      <c r="AT226" s="3"/>
      <c r="AU226" s="3"/>
      <c r="AV226" s="3"/>
      <c r="BL226" s="3"/>
      <c r="BM226" s="3"/>
      <c r="BN226" s="55"/>
    </row>
    <row r="227" spans="1:66" s="4" customFormat="1" ht="95.4" customHeight="1" x14ac:dyDescent="0.25">
      <c r="A227" s="56" t="s">
        <v>268</v>
      </c>
      <c r="B227" s="13" t="s">
        <v>183</v>
      </c>
      <c r="C227" s="26" t="s">
        <v>435</v>
      </c>
      <c r="D227" s="45">
        <v>3739000</v>
      </c>
      <c r="E227" s="45">
        <v>0</v>
      </c>
      <c r="F227" s="45">
        <v>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109"/>
      <c r="V227" s="3"/>
      <c r="W227" s="3"/>
      <c r="X227" s="3"/>
      <c r="Y227" s="3"/>
      <c r="AB227" s="5"/>
      <c r="AC227" s="5"/>
      <c r="AD227" s="5"/>
      <c r="AE227" s="5"/>
      <c r="AF227" s="5"/>
      <c r="AG227" s="5"/>
      <c r="AH227" s="3"/>
      <c r="AI227" s="3"/>
      <c r="AJ227" s="3"/>
      <c r="AK227" s="3"/>
      <c r="AL227" s="3"/>
      <c r="AM227" s="3"/>
      <c r="AN227" s="3"/>
      <c r="AO227" s="3"/>
      <c r="AP227" s="3"/>
      <c r="AQ227" s="6"/>
      <c r="AR227" s="6"/>
      <c r="AS227" s="3"/>
      <c r="AT227" s="3"/>
      <c r="AU227" s="3"/>
      <c r="AV227" s="3"/>
      <c r="BL227" s="3"/>
      <c r="BM227" s="3"/>
    </row>
    <row r="228" spans="1:66" s="4" customFormat="1" ht="70.8" customHeight="1" x14ac:dyDescent="0.25">
      <c r="A228" s="74" t="s">
        <v>453</v>
      </c>
      <c r="B228" s="13" t="s">
        <v>183</v>
      </c>
      <c r="C228" s="26" t="s">
        <v>435</v>
      </c>
      <c r="D228" s="45">
        <v>162900</v>
      </c>
      <c r="E228" s="45">
        <v>0</v>
      </c>
      <c r="F228" s="45">
        <v>0</v>
      </c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109"/>
      <c r="V228" s="3"/>
      <c r="W228" s="3"/>
      <c r="X228" s="3"/>
      <c r="Y228" s="3"/>
      <c r="AB228" s="5"/>
      <c r="AC228" s="5"/>
      <c r="AD228" s="5"/>
      <c r="AE228" s="5"/>
      <c r="AF228" s="5"/>
      <c r="AG228" s="5"/>
      <c r="AH228" s="3"/>
      <c r="AI228" s="3"/>
      <c r="AJ228" s="3"/>
      <c r="AK228" s="3"/>
      <c r="AL228" s="3"/>
      <c r="AM228" s="3"/>
      <c r="AN228" s="3"/>
      <c r="AO228" s="3"/>
      <c r="AP228" s="3"/>
      <c r="AQ228" s="6"/>
      <c r="AR228" s="6"/>
      <c r="AS228" s="3"/>
      <c r="AT228" s="3"/>
      <c r="AU228" s="3"/>
      <c r="AV228" s="3"/>
      <c r="BL228" s="3"/>
      <c r="BM228" s="3"/>
    </row>
    <row r="229" spans="1:66" s="4" customFormat="1" ht="54.6" customHeight="1" x14ac:dyDescent="0.25">
      <c r="A229" s="74" t="s">
        <v>455</v>
      </c>
      <c r="B229" s="13" t="s">
        <v>183</v>
      </c>
      <c r="C229" s="26" t="s">
        <v>435</v>
      </c>
      <c r="D229" s="45">
        <v>1089500</v>
      </c>
      <c r="E229" s="45">
        <v>0</v>
      </c>
      <c r="F229" s="45">
        <v>0</v>
      </c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109"/>
      <c r="V229" s="3"/>
      <c r="W229" s="3"/>
      <c r="X229" s="3"/>
      <c r="Y229" s="3"/>
      <c r="AB229" s="5"/>
      <c r="AC229" s="5"/>
      <c r="AD229" s="5"/>
      <c r="AE229" s="5"/>
      <c r="AF229" s="5"/>
      <c r="AG229" s="5"/>
      <c r="AH229" s="3"/>
      <c r="AI229" s="3"/>
      <c r="AJ229" s="3"/>
      <c r="AK229" s="3"/>
      <c r="AL229" s="3"/>
      <c r="AM229" s="3"/>
      <c r="AN229" s="3"/>
      <c r="AO229" s="3"/>
      <c r="AP229" s="3"/>
      <c r="AQ229" s="6"/>
      <c r="AR229" s="6"/>
      <c r="AS229" s="3"/>
      <c r="AT229" s="3"/>
      <c r="AU229" s="3"/>
      <c r="AV229" s="3"/>
      <c r="BL229" s="3"/>
      <c r="BM229" s="3"/>
    </row>
    <row r="230" spans="1:66" s="4" customFormat="1" ht="57" customHeight="1" x14ac:dyDescent="0.25">
      <c r="A230" s="74" t="s">
        <v>389</v>
      </c>
      <c r="B230" s="13" t="s">
        <v>267</v>
      </c>
      <c r="C230" s="26" t="s">
        <v>435</v>
      </c>
      <c r="D230" s="45">
        <v>19389200</v>
      </c>
      <c r="E230" s="45">
        <v>0</v>
      </c>
      <c r="F230" s="45">
        <v>0</v>
      </c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109"/>
      <c r="V230" s="3"/>
      <c r="W230" s="3"/>
      <c r="X230" s="3"/>
      <c r="Y230" s="3"/>
      <c r="AB230" s="5"/>
      <c r="AC230" s="5"/>
      <c r="AD230" s="5"/>
      <c r="AE230" s="5"/>
      <c r="AF230" s="5"/>
      <c r="AG230" s="5"/>
      <c r="AH230" s="3"/>
      <c r="AI230" s="3"/>
      <c r="AJ230" s="3"/>
      <c r="AK230" s="3"/>
      <c r="AL230" s="3"/>
      <c r="AM230" s="3"/>
      <c r="AN230" s="3"/>
      <c r="AO230" s="3"/>
      <c r="AP230" s="3"/>
      <c r="AQ230" s="6"/>
      <c r="AR230" s="6"/>
      <c r="AS230" s="3"/>
      <c r="AT230" s="3"/>
      <c r="AU230" s="3"/>
      <c r="AV230" s="3"/>
      <c r="BL230" s="3"/>
      <c r="BM230" s="3"/>
    </row>
    <row r="231" spans="1:66" s="4" customFormat="1" ht="60.6" customHeight="1" x14ac:dyDescent="0.25">
      <c r="A231" s="136" t="s">
        <v>454</v>
      </c>
      <c r="B231" s="13" t="s">
        <v>267</v>
      </c>
      <c r="C231" s="26" t="s">
        <v>435</v>
      </c>
      <c r="D231" s="45">
        <v>172184</v>
      </c>
      <c r="E231" s="45">
        <v>0</v>
      </c>
      <c r="F231" s="45">
        <v>0</v>
      </c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109"/>
      <c r="V231" s="3"/>
      <c r="W231" s="3"/>
      <c r="X231" s="3"/>
      <c r="Y231" s="3"/>
      <c r="AB231" s="5"/>
      <c r="AC231" s="5"/>
      <c r="AD231" s="5"/>
      <c r="AE231" s="5"/>
      <c r="AF231" s="5"/>
      <c r="AG231" s="5"/>
      <c r="AH231" s="3"/>
      <c r="AI231" s="3"/>
      <c r="AJ231" s="3"/>
      <c r="AK231" s="3"/>
      <c r="AL231" s="3"/>
      <c r="AM231" s="3"/>
      <c r="AN231" s="3"/>
      <c r="AO231" s="3"/>
      <c r="AP231" s="3"/>
      <c r="AQ231" s="6"/>
      <c r="AR231" s="6"/>
      <c r="AS231" s="3"/>
      <c r="AT231" s="3"/>
      <c r="AU231" s="3"/>
      <c r="AV231" s="3"/>
      <c r="BL231" s="3"/>
      <c r="BM231" s="3"/>
    </row>
    <row r="232" spans="1:66" s="4" customFormat="1" ht="41.4" customHeight="1" x14ac:dyDescent="0.25">
      <c r="A232" s="61" t="s">
        <v>188</v>
      </c>
      <c r="B232" s="13" t="s">
        <v>157</v>
      </c>
      <c r="C232" s="26" t="s">
        <v>434</v>
      </c>
      <c r="D232" s="45">
        <v>15000000</v>
      </c>
      <c r="E232" s="45">
        <v>15000000</v>
      </c>
      <c r="F232" s="45">
        <v>15000000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109"/>
      <c r="V232" s="3"/>
      <c r="W232" s="3"/>
      <c r="X232" s="3"/>
      <c r="Y232" s="3"/>
      <c r="AB232" s="5"/>
      <c r="AC232" s="5"/>
      <c r="AD232" s="5"/>
      <c r="AE232" s="5"/>
      <c r="AF232" s="5"/>
      <c r="AG232" s="5"/>
      <c r="AH232" s="3"/>
      <c r="AI232" s="3"/>
      <c r="AJ232" s="3"/>
      <c r="AK232" s="3"/>
      <c r="AL232" s="3"/>
      <c r="AM232" s="3"/>
      <c r="AN232" s="3"/>
      <c r="AO232" s="3"/>
      <c r="AP232" s="3"/>
      <c r="AQ232" s="6"/>
      <c r="AR232" s="6"/>
      <c r="AS232" s="3"/>
      <c r="AT232" s="3"/>
      <c r="AU232" s="3"/>
      <c r="AV232" s="3"/>
      <c r="BL232" s="3"/>
      <c r="BM232" s="3"/>
    </row>
    <row r="233" spans="1:66" s="4" customFormat="1" ht="41.4" customHeight="1" x14ac:dyDescent="0.25">
      <c r="A233" s="136" t="s">
        <v>390</v>
      </c>
      <c r="B233" s="13" t="s">
        <v>157</v>
      </c>
      <c r="C233" s="26" t="s">
        <v>434</v>
      </c>
      <c r="D233" s="45">
        <f>28060000+5584400</f>
        <v>33644400</v>
      </c>
      <c r="E233" s="45">
        <v>0</v>
      </c>
      <c r="F233" s="45">
        <v>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109"/>
      <c r="V233" s="3"/>
      <c r="W233" s="3"/>
      <c r="X233" s="3"/>
      <c r="Y233" s="3"/>
      <c r="AB233" s="5"/>
      <c r="AC233" s="5"/>
      <c r="AD233" s="5"/>
      <c r="AE233" s="5"/>
      <c r="AF233" s="5"/>
      <c r="AG233" s="5"/>
      <c r="AH233" s="3"/>
      <c r="AI233" s="3"/>
      <c r="AJ233" s="3"/>
      <c r="AK233" s="3"/>
      <c r="AL233" s="3"/>
      <c r="AM233" s="3"/>
      <c r="AN233" s="3"/>
      <c r="AO233" s="3"/>
      <c r="AP233" s="3"/>
      <c r="AQ233" s="6"/>
      <c r="AR233" s="6"/>
      <c r="AS233" s="3"/>
      <c r="AT233" s="3"/>
      <c r="AU233" s="3"/>
      <c r="AV233" s="3"/>
      <c r="BL233" s="3"/>
      <c r="BM233" s="3"/>
    </row>
    <row r="234" spans="1:66" s="4" customFormat="1" ht="57" customHeight="1" x14ac:dyDescent="0.25">
      <c r="A234" s="61" t="s">
        <v>269</v>
      </c>
      <c r="B234" s="13" t="s">
        <v>57</v>
      </c>
      <c r="C234" s="26" t="s">
        <v>434</v>
      </c>
      <c r="D234" s="45">
        <f>100000000+211199600</f>
        <v>311199600</v>
      </c>
      <c r="E234" s="45">
        <v>99653500</v>
      </c>
      <c r="F234" s="45">
        <v>180000000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109"/>
      <c r="V234" s="3"/>
      <c r="W234" s="3"/>
      <c r="X234" s="3"/>
      <c r="Y234" s="3"/>
      <c r="AB234" s="5"/>
      <c r="AC234" s="5"/>
      <c r="AD234" s="5"/>
      <c r="AE234" s="5"/>
      <c r="AF234" s="5"/>
      <c r="AG234" s="5"/>
      <c r="AH234" s="3"/>
      <c r="AI234" s="3"/>
      <c r="AJ234" s="3"/>
      <c r="AK234" s="3"/>
      <c r="AL234" s="3"/>
      <c r="AM234" s="3"/>
      <c r="AN234" s="3"/>
      <c r="AO234" s="3"/>
      <c r="AP234" s="3"/>
      <c r="AQ234" s="6"/>
      <c r="AR234" s="6"/>
      <c r="AS234" s="3"/>
      <c r="AT234" s="3"/>
      <c r="AU234" s="3"/>
      <c r="AV234" s="3"/>
      <c r="BL234" s="3"/>
      <c r="BM234" s="3"/>
    </row>
    <row r="235" spans="1:66" s="4" customFormat="1" ht="58.2" customHeight="1" x14ac:dyDescent="0.25">
      <c r="A235" s="74" t="s">
        <v>460</v>
      </c>
      <c r="B235" s="13" t="s">
        <v>57</v>
      </c>
      <c r="C235" s="26" t="s">
        <v>434</v>
      </c>
      <c r="D235" s="45">
        <f>2371300+2530800</f>
        <v>4902100</v>
      </c>
      <c r="E235" s="45">
        <v>1210600</v>
      </c>
      <c r="F235" s="45">
        <v>1210600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109"/>
      <c r="V235" s="3"/>
      <c r="W235" s="3"/>
      <c r="X235" s="3"/>
      <c r="Y235" s="3"/>
      <c r="AB235" s="5"/>
      <c r="AC235" s="5"/>
      <c r="AD235" s="5"/>
      <c r="AE235" s="5"/>
      <c r="AF235" s="5"/>
      <c r="AG235" s="5"/>
      <c r="AH235" s="3"/>
      <c r="AI235" s="3"/>
      <c r="AJ235" s="3"/>
      <c r="AK235" s="3"/>
      <c r="AL235" s="3"/>
      <c r="AM235" s="3"/>
      <c r="AN235" s="3"/>
      <c r="AO235" s="3"/>
      <c r="AP235" s="3"/>
      <c r="AQ235" s="6"/>
      <c r="AR235" s="6"/>
      <c r="AS235" s="3"/>
      <c r="AT235" s="3"/>
      <c r="AU235" s="3"/>
      <c r="AV235" s="3"/>
      <c r="BL235" s="3"/>
      <c r="BM235" s="3"/>
    </row>
    <row r="236" spans="1:66" s="4" customFormat="1" ht="42" customHeight="1" x14ac:dyDescent="0.25">
      <c r="A236" s="74" t="s">
        <v>459</v>
      </c>
      <c r="B236" s="13" t="s">
        <v>57</v>
      </c>
      <c r="C236" s="26" t="s">
        <v>434</v>
      </c>
      <c r="D236" s="45">
        <v>1673300</v>
      </c>
      <c r="E236" s="45">
        <v>0</v>
      </c>
      <c r="F236" s="45">
        <v>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109"/>
      <c r="V236" s="3"/>
      <c r="W236" s="3"/>
      <c r="X236" s="3"/>
      <c r="Y236" s="3"/>
      <c r="AB236" s="5"/>
      <c r="AC236" s="5"/>
      <c r="AD236" s="5"/>
      <c r="AE236" s="5"/>
      <c r="AF236" s="5"/>
      <c r="AG236" s="5"/>
      <c r="AH236" s="3"/>
      <c r="AI236" s="3"/>
      <c r="AJ236" s="3"/>
      <c r="AK236" s="3"/>
      <c r="AL236" s="3"/>
      <c r="AM236" s="3"/>
      <c r="AN236" s="3"/>
      <c r="AO236" s="3"/>
      <c r="AP236" s="3"/>
      <c r="AQ236" s="6"/>
      <c r="AR236" s="6"/>
      <c r="AS236" s="3"/>
      <c r="AT236" s="3"/>
      <c r="AU236" s="3"/>
      <c r="AV236" s="3"/>
      <c r="BL236" s="3"/>
      <c r="BM236" s="3"/>
    </row>
    <row r="237" spans="1:66" s="4" customFormat="1" ht="21" customHeight="1" x14ac:dyDescent="0.25">
      <c r="A237" s="58" t="s">
        <v>189</v>
      </c>
      <c r="B237" s="13" t="s">
        <v>5</v>
      </c>
      <c r="C237" s="14" t="s">
        <v>338</v>
      </c>
      <c r="D237" s="45">
        <f>+D238+D245+D247+D249</f>
        <v>2425653100</v>
      </c>
      <c r="E237" s="45">
        <f t="shared" ref="E237:F237" si="77">+E238+E245+E247+E249</f>
        <v>2302783400</v>
      </c>
      <c r="F237" s="45">
        <f t="shared" si="77"/>
        <v>2302640900</v>
      </c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109"/>
      <c r="V237" s="3"/>
      <c r="W237" s="3"/>
      <c r="X237" s="3"/>
      <c r="Y237" s="3"/>
      <c r="AB237" s="5"/>
      <c r="AC237" s="5"/>
      <c r="AD237" s="5"/>
      <c r="AE237" s="5"/>
      <c r="AF237" s="5"/>
      <c r="AG237" s="5"/>
      <c r="AH237" s="3"/>
      <c r="AI237" s="3"/>
      <c r="AJ237" s="3"/>
      <c r="AK237" s="3"/>
      <c r="AL237" s="3"/>
      <c r="AM237" s="3"/>
      <c r="AN237" s="3"/>
      <c r="AO237" s="3"/>
      <c r="AP237" s="3"/>
      <c r="AQ237" s="6"/>
      <c r="AR237" s="6"/>
      <c r="AS237" s="3"/>
      <c r="AT237" s="3"/>
      <c r="AU237" s="3"/>
      <c r="AV237" s="3"/>
      <c r="BL237" s="3"/>
      <c r="BM237" s="3"/>
    </row>
    <row r="238" spans="1:66" s="4" customFormat="1" ht="31.2" customHeight="1" x14ac:dyDescent="0.25">
      <c r="A238" s="58" t="s">
        <v>190</v>
      </c>
      <c r="B238" s="13" t="s">
        <v>5</v>
      </c>
      <c r="C238" s="13" t="s">
        <v>339</v>
      </c>
      <c r="D238" s="45">
        <f>+D239</f>
        <v>17225400</v>
      </c>
      <c r="E238" s="45">
        <f t="shared" ref="E238:F238" si="78">+E239</f>
        <v>17225400</v>
      </c>
      <c r="F238" s="45">
        <f t="shared" si="78"/>
        <v>17225400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109"/>
      <c r="V238" s="3"/>
      <c r="W238" s="3"/>
      <c r="X238" s="3"/>
      <c r="Y238" s="3"/>
      <c r="AB238" s="5"/>
      <c r="AC238" s="5"/>
      <c r="AD238" s="5"/>
      <c r="AE238" s="5"/>
      <c r="AF238" s="5"/>
      <c r="AG238" s="5"/>
      <c r="AH238" s="3"/>
      <c r="AI238" s="3"/>
      <c r="AJ238" s="3"/>
      <c r="AK238" s="3"/>
      <c r="AL238" s="3"/>
      <c r="AM238" s="3"/>
      <c r="AN238" s="3"/>
      <c r="AO238" s="3"/>
      <c r="AP238" s="3"/>
      <c r="AQ238" s="6"/>
      <c r="AR238" s="6"/>
      <c r="AS238" s="3"/>
      <c r="AT238" s="3"/>
      <c r="AU238" s="3"/>
      <c r="AV238" s="3"/>
      <c r="BL238" s="3"/>
      <c r="BM238" s="3"/>
    </row>
    <row r="239" spans="1:66" s="34" customFormat="1" ht="32.4" customHeight="1" x14ac:dyDescent="0.3">
      <c r="A239" s="58" t="s">
        <v>191</v>
      </c>
      <c r="B239" s="13" t="s">
        <v>5</v>
      </c>
      <c r="C239" s="13" t="s">
        <v>343</v>
      </c>
      <c r="D239" s="45">
        <f>+D240+D241+D242+D243+D244</f>
        <v>17225400</v>
      </c>
      <c r="E239" s="45">
        <f t="shared" ref="E239:F239" si="79">+E240+E241+E242+E243+E244</f>
        <v>17225400</v>
      </c>
      <c r="F239" s="45">
        <f t="shared" si="79"/>
        <v>17225400</v>
      </c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59"/>
      <c r="V239" s="33"/>
      <c r="W239" s="33"/>
      <c r="X239" s="33"/>
      <c r="Y239" s="33"/>
      <c r="AB239" s="35"/>
      <c r="AC239" s="35"/>
      <c r="AD239" s="35"/>
      <c r="AE239" s="35"/>
      <c r="AF239" s="35"/>
      <c r="AG239" s="35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BL239" s="33"/>
      <c r="BM239" s="33"/>
    </row>
    <row r="240" spans="1:66" s="4" customFormat="1" ht="43.95" customHeight="1" x14ac:dyDescent="0.25">
      <c r="A240" s="56" t="s">
        <v>264</v>
      </c>
      <c r="B240" s="13" t="s">
        <v>183</v>
      </c>
      <c r="C240" s="13" t="s">
        <v>436</v>
      </c>
      <c r="D240" s="48">
        <v>12450200</v>
      </c>
      <c r="E240" s="48">
        <v>12450200</v>
      </c>
      <c r="F240" s="48">
        <v>12450200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109"/>
      <c r="V240" s="3"/>
      <c r="W240" s="3"/>
      <c r="X240" s="3"/>
      <c r="Y240" s="3"/>
      <c r="AB240" s="5"/>
      <c r="AC240" s="5"/>
      <c r="AD240" s="5"/>
      <c r="AE240" s="5"/>
      <c r="AF240" s="5"/>
      <c r="AG240" s="5"/>
      <c r="AH240" s="3"/>
      <c r="AI240" s="3"/>
      <c r="AJ240" s="3"/>
      <c r="AK240" s="3"/>
      <c r="AL240" s="3"/>
      <c r="AM240" s="3"/>
      <c r="AN240" s="3"/>
      <c r="AO240" s="3"/>
      <c r="AP240" s="3"/>
      <c r="AQ240" s="6"/>
      <c r="AR240" s="6"/>
      <c r="AS240" s="3"/>
      <c r="AT240" s="3"/>
      <c r="AU240" s="3"/>
      <c r="AV240" s="3"/>
      <c r="BL240" s="3"/>
      <c r="BM240" s="3"/>
      <c r="BN240" s="55"/>
    </row>
    <row r="241" spans="1:65" s="4" customFormat="1" ht="66" customHeight="1" x14ac:dyDescent="0.25">
      <c r="A241" s="56" t="s">
        <v>221</v>
      </c>
      <c r="B241" s="13" t="s">
        <v>183</v>
      </c>
      <c r="C241" s="13" t="s">
        <v>436</v>
      </c>
      <c r="D241" s="48">
        <v>146800</v>
      </c>
      <c r="E241" s="48">
        <v>146800</v>
      </c>
      <c r="F241" s="48">
        <v>146800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109"/>
      <c r="V241" s="3"/>
      <c r="W241" s="3"/>
      <c r="X241" s="3"/>
      <c r="Y241" s="3"/>
      <c r="AB241" s="5"/>
      <c r="AC241" s="5"/>
      <c r="AD241" s="5"/>
      <c r="AE241" s="5"/>
      <c r="AF241" s="5"/>
      <c r="AG241" s="5"/>
      <c r="AH241" s="3"/>
      <c r="AI241" s="3"/>
      <c r="AJ241" s="3"/>
      <c r="AK241" s="3"/>
      <c r="AL241" s="3"/>
      <c r="AM241" s="3"/>
      <c r="AN241" s="3"/>
      <c r="AO241" s="3"/>
      <c r="AP241" s="3"/>
      <c r="AQ241" s="6"/>
      <c r="AR241" s="6"/>
      <c r="AS241" s="3"/>
      <c r="AT241" s="3"/>
      <c r="AU241" s="3"/>
      <c r="AV241" s="3"/>
      <c r="AX241" s="119"/>
      <c r="AY241" s="119"/>
      <c r="AZ241" s="119"/>
      <c r="BA241" s="119"/>
      <c r="BB241" s="119"/>
      <c r="BC241" s="119"/>
      <c r="BL241" s="3"/>
      <c r="BM241" s="3"/>
    </row>
    <row r="242" spans="1:65" s="4" customFormat="1" ht="30.6" customHeight="1" x14ac:dyDescent="0.25">
      <c r="A242" s="66" t="s">
        <v>192</v>
      </c>
      <c r="B242" s="13" t="s">
        <v>183</v>
      </c>
      <c r="C242" s="13" t="s">
        <v>436</v>
      </c>
      <c r="D242" s="48">
        <f>3373100+33100</f>
        <v>3406200</v>
      </c>
      <c r="E242" s="48">
        <f>3373100+33100</f>
        <v>3406200</v>
      </c>
      <c r="F242" s="48">
        <f>3373100+33100</f>
        <v>3406200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109"/>
      <c r="V242" s="3"/>
      <c r="W242" s="3"/>
      <c r="X242" s="3"/>
      <c r="Y242" s="3"/>
      <c r="AB242" s="5"/>
      <c r="AC242" s="5"/>
      <c r="AD242" s="5"/>
      <c r="AE242" s="5"/>
      <c r="AF242" s="5"/>
      <c r="AG242" s="5"/>
      <c r="AH242" s="3"/>
      <c r="AI242" s="3"/>
      <c r="AJ242" s="3"/>
      <c r="AK242" s="3"/>
      <c r="AL242" s="3"/>
      <c r="AM242" s="3"/>
      <c r="AN242" s="3"/>
      <c r="AO242" s="3"/>
      <c r="AP242" s="3"/>
      <c r="AQ242" s="6"/>
      <c r="AR242" s="6"/>
      <c r="AS242" s="3"/>
      <c r="AT242" s="3"/>
      <c r="AU242" s="3"/>
      <c r="AV242" s="3"/>
      <c r="AY242" s="120"/>
      <c r="AZ242" s="120"/>
      <c r="BA242" s="120"/>
      <c r="BB242" s="120"/>
      <c r="BC242" s="120"/>
      <c r="BD242" s="120"/>
      <c r="BL242" s="3"/>
      <c r="BM242" s="3"/>
    </row>
    <row r="243" spans="1:65" s="34" customFormat="1" ht="81" customHeight="1" x14ac:dyDescent="0.3">
      <c r="A243" s="58" t="s">
        <v>193</v>
      </c>
      <c r="B243" s="13" t="s">
        <v>157</v>
      </c>
      <c r="C243" s="13" t="s">
        <v>436</v>
      </c>
      <c r="D243" s="49">
        <v>700</v>
      </c>
      <c r="E243" s="49">
        <v>700</v>
      </c>
      <c r="F243" s="49">
        <v>700</v>
      </c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59"/>
      <c r="V243" s="33"/>
      <c r="W243" s="33"/>
      <c r="X243" s="33"/>
      <c r="Y243" s="33"/>
      <c r="AB243" s="35"/>
      <c r="AC243" s="35"/>
      <c r="AD243" s="35"/>
      <c r="AE243" s="35"/>
      <c r="AF243" s="35"/>
      <c r="AG243" s="35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BL243" s="33"/>
      <c r="BM243" s="33"/>
    </row>
    <row r="244" spans="1:65" s="4" customFormat="1" ht="54.6" customHeight="1" x14ac:dyDescent="0.25">
      <c r="A244" s="67" t="s">
        <v>210</v>
      </c>
      <c r="B244" s="13" t="s">
        <v>57</v>
      </c>
      <c r="C244" s="13" t="s">
        <v>436</v>
      </c>
      <c r="D244" s="48">
        <v>1221500</v>
      </c>
      <c r="E244" s="48">
        <v>1221500</v>
      </c>
      <c r="F244" s="48">
        <v>1221500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109"/>
      <c r="V244" s="3"/>
      <c r="W244" s="3"/>
      <c r="X244" s="3"/>
      <c r="Y244" s="3"/>
      <c r="AB244" s="5"/>
      <c r="AC244" s="5"/>
      <c r="AD244" s="5"/>
      <c r="AE244" s="5"/>
      <c r="AF244" s="5"/>
      <c r="AG244" s="5"/>
      <c r="AH244" s="3"/>
      <c r="AI244" s="3"/>
      <c r="AJ244" s="3"/>
      <c r="AK244" s="3"/>
      <c r="AL244" s="3"/>
      <c r="AM244" s="3"/>
      <c r="AN244" s="3"/>
      <c r="AO244" s="3"/>
      <c r="AP244" s="3"/>
      <c r="AQ244" s="6"/>
      <c r="AR244" s="6"/>
      <c r="AS244" s="3"/>
      <c r="AT244" s="3"/>
      <c r="AU244" s="3"/>
      <c r="AV244" s="3"/>
      <c r="AX244" s="121"/>
      <c r="AY244" s="121"/>
      <c r="AZ244" s="121"/>
      <c r="BA244" s="121"/>
      <c r="BB244" s="121"/>
      <c r="BC244" s="121"/>
      <c r="BL244" s="3"/>
      <c r="BM244" s="3"/>
    </row>
    <row r="245" spans="1:65" s="4" customFormat="1" ht="56.4" customHeight="1" x14ac:dyDescent="0.25">
      <c r="A245" s="58" t="s">
        <v>229</v>
      </c>
      <c r="B245" s="13" t="s">
        <v>5</v>
      </c>
      <c r="C245" s="30" t="s">
        <v>340</v>
      </c>
      <c r="D245" s="48">
        <f>+D246</f>
        <v>2500</v>
      </c>
      <c r="E245" s="48">
        <f>+E246</f>
        <v>144900</v>
      </c>
      <c r="F245" s="48">
        <f>+F246</f>
        <v>2400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109"/>
      <c r="V245" s="3"/>
      <c r="W245" s="3"/>
      <c r="X245" s="3"/>
      <c r="Y245" s="3"/>
      <c r="AB245" s="5"/>
      <c r="AC245" s="5"/>
      <c r="AD245" s="5"/>
      <c r="AE245" s="5"/>
      <c r="AF245" s="5"/>
      <c r="AG245" s="5"/>
      <c r="AH245" s="3"/>
      <c r="AI245" s="3"/>
      <c r="AJ245" s="3"/>
      <c r="AK245" s="3"/>
      <c r="AL245" s="3"/>
      <c r="AM245" s="3"/>
      <c r="AN245" s="3"/>
      <c r="AO245" s="3"/>
      <c r="AP245" s="3"/>
      <c r="AQ245" s="6"/>
      <c r="AR245" s="6"/>
      <c r="AS245" s="3"/>
      <c r="AT245" s="3"/>
      <c r="AU245" s="3"/>
      <c r="AV245" s="3"/>
      <c r="BL245" s="3"/>
      <c r="BM245" s="3"/>
    </row>
    <row r="246" spans="1:65" s="4" customFormat="1" ht="54.6" hidden="1" customHeight="1" x14ac:dyDescent="0.25">
      <c r="A246" s="58" t="s">
        <v>194</v>
      </c>
      <c r="B246" s="13" t="s">
        <v>157</v>
      </c>
      <c r="C246" s="30" t="s">
        <v>195</v>
      </c>
      <c r="D246" s="48">
        <v>2500</v>
      </c>
      <c r="E246" s="48">
        <v>144900</v>
      </c>
      <c r="F246" s="48">
        <v>2400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109"/>
      <c r="V246" s="3"/>
      <c r="W246" s="3"/>
      <c r="X246" s="3"/>
      <c r="Y246" s="3"/>
      <c r="AB246" s="5"/>
      <c r="AC246" s="5"/>
      <c r="AD246" s="5"/>
      <c r="AE246" s="5"/>
      <c r="AF246" s="5"/>
      <c r="AG246" s="5"/>
      <c r="AH246" s="3"/>
      <c r="AI246" s="3"/>
      <c r="AJ246" s="3"/>
      <c r="AK246" s="3"/>
      <c r="AL246" s="3"/>
      <c r="AM246" s="3"/>
      <c r="AN246" s="3"/>
      <c r="AO246" s="3"/>
      <c r="AP246" s="3"/>
      <c r="AQ246" s="6"/>
      <c r="AR246" s="6"/>
      <c r="AS246" s="3"/>
      <c r="AT246" s="3"/>
      <c r="AU246" s="3"/>
      <c r="AV246" s="3"/>
      <c r="BL246" s="3"/>
      <c r="BM246" s="3"/>
    </row>
    <row r="247" spans="1:65" s="4" customFormat="1" ht="28.2" customHeight="1" x14ac:dyDescent="0.25">
      <c r="A247" s="58" t="s">
        <v>288</v>
      </c>
      <c r="B247" s="13" t="s">
        <v>5</v>
      </c>
      <c r="C247" s="30" t="s">
        <v>341</v>
      </c>
      <c r="D247" s="48">
        <f>+D248</f>
        <v>14235900</v>
      </c>
      <c r="E247" s="48">
        <f t="shared" ref="E247:F247" si="80">+E248</f>
        <v>14235900</v>
      </c>
      <c r="F247" s="48">
        <f t="shared" si="80"/>
        <v>14235900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109"/>
      <c r="V247" s="3"/>
      <c r="W247" s="3"/>
      <c r="X247" s="3"/>
      <c r="Y247" s="3"/>
      <c r="AB247" s="5"/>
      <c r="AC247" s="5"/>
      <c r="AD247" s="5"/>
      <c r="AE247" s="5"/>
      <c r="AF247" s="5"/>
      <c r="AG247" s="5"/>
      <c r="AH247" s="3"/>
      <c r="AI247" s="3"/>
      <c r="AJ247" s="3"/>
      <c r="AK247" s="3"/>
      <c r="AL247" s="3"/>
      <c r="AM247" s="3"/>
      <c r="AN247" s="3"/>
      <c r="AO247" s="3"/>
      <c r="AP247" s="3"/>
      <c r="AQ247" s="6"/>
      <c r="AR247" s="6"/>
      <c r="AS247" s="3"/>
      <c r="AT247" s="3"/>
      <c r="AU247" s="3"/>
      <c r="AV247" s="3"/>
      <c r="BL247" s="3"/>
      <c r="BM247" s="3"/>
    </row>
    <row r="248" spans="1:65" s="4" customFormat="1" ht="30.6" hidden="1" customHeight="1" x14ac:dyDescent="0.25">
      <c r="A248" s="58" t="s">
        <v>289</v>
      </c>
      <c r="B248" s="13" t="s">
        <v>157</v>
      </c>
      <c r="C248" s="30" t="s">
        <v>290</v>
      </c>
      <c r="D248" s="48">
        <v>14235900</v>
      </c>
      <c r="E248" s="48">
        <v>14235900</v>
      </c>
      <c r="F248" s="48">
        <v>14235900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109"/>
      <c r="V248" s="3"/>
      <c r="W248" s="3"/>
      <c r="X248" s="3"/>
      <c r="Y248" s="3"/>
      <c r="AB248" s="5"/>
      <c r="AC248" s="5"/>
      <c r="AD248" s="5"/>
      <c r="AE248" s="5"/>
      <c r="AF248" s="5"/>
      <c r="AG248" s="5"/>
      <c r="AH248" s="3"/>
      <c r="AI248" s="3"/>
      <c r="AJ248" s="3"/>
      <c r="AK248" s="3"/>
      <c r="AL248" s="3"/>
      <c r="AM248" s="3"/>
      <c r="AN248" s="3"/>
      <c r="AO248" s="3"/>
      <c r="AP248" s="3"/>
      <c r="AQ248" s="6"/>
      <c r="AR248" s="6"/>
      <c r="AS248" s="3"/>
      <c r="AT248" s="3"/>
      <c r="AU248" s="3"/>
      <c r="AV248" s="3"/>
      <c r="BL248" s="3"/>
      <c r="BM248" s="3"/>
    </row>
    <row r="249" spans="1:65" s="4" customFormat="1" ht="18" customHeight="1" x14ac:dyDescent="0.25">
      <c r="A249" s="58" t="s">
        <v>196</v>
      </c>
      <c r="B249" s="13" t="s">
        <v>5</v>
      </c>
      <c r="C249" s="14" t="s">
        <v>342</v>
      </c>
      <c r="D249" s="45">
        <f>+D250</f>
        <v>2394189300</v>
      </c>
      <c r="E249" s="45">
        <f>+E250</f>
        <v>2271177200</v>
      </c>
      <c r="F249" s="45">
        <f>+F250</f>
        <v>2271177200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109"/>
      <c r="V249" s="3"/>
      <c r="W249" s="3"/>
      <c r="X249" s="3"/>
      <c r="Y249" s="3"/>
      <c r="AB249" s="5"/>
      <c r="AC249" s="5"/>
      <c r="AD249" s="5"/>
      <c r="AE249" s="5"/>
      <c r="AF249" s="5"/>
      <c r="AG249" s="5"/>
      <c r="AH249" s="3"/>
      <c r="AI249" s="3"/>
      <c r="AJ249" s="3"/>
      <c r="AK249" s="3"/>
      <c r="AL249" s="3"/>
      <c r="AM249" s="3"/>
      <c r="AN249" s="3"/>
      <c r="AO249" s="3"/>
      <c r="AP249" s="3"/>
      <c r="AQ249" s="6"/>
      <c r="AR249" s="6"/>
      <c r="AS249" s="3"/>
      <c r="AT249" s="3"/>
      <c r="AU249" s="3"/>
      <c r="AV249" s="3"/>
      <c r="BL249" s="3"/>
      <c r="BM249" s="3"/>
    </row>
    <row r="250" spans="1:65" s="4" customFormat="1" ht="18.600000000000001" customHeight="1" x14ac:dyDescent="0.25">
      <c r="A250" s="58" t="s">
        <v>197</v>
      </c>
      <c r="B250" s="13" t="s">
        <v>5</v>
      </c>
      <c r="C250" s="14" t="s">
        <v>344</v>
      </c>
      <c r="D250" s="45">
        <f>+D251+D252</f>
        <v>2394189300</v>
      </c>
      <c r="E250" s="45">
        <f t="shared" ref="E250:F250" si="81">+E251+E252</f>
        <v>2271177200</v>
      </c>
      <c r="F250" s="45">
        <f t="shared" si="81"/>
        <v>2271177200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109"/>
      <c r="V250" s="3"/>
      <c r="W250" s="3"/>
      <c r="X250" s="3"/>
      <c r="Y250" s="3"/>
      <c r="AB250" s="5"/>
      <c r="AC250" s="5"/>
      <c r="AD250" s="5"/>
      <c r="AE250" s="5"/>
      <c r="AF250" s="5"/>
      <c r="AG250" s="5"/>
      <c r="AH250" s="3"/>
      <c r="AI250" s="3"/>
      <c r="AJ250" s="3"/>
      <c r="AK250" s="3"/>
      <c r="AL250" s="3"/>
      <c r="AM250" s="3"/>
      <c r="AN250" s="3"/>
      <c r="AO250" s="3"/>
      <c r="AP250" s="3"/>
      <c r="AQ250" s="6"/>
      <c r="AR250" s="6"/>
      <c r="AS250" s="3"/>
      <c r="AT250" s="3"/>
      <c r="AU250" s="3"/>
      <c r="AV250" s="3"/>
      <c r="BL250" s="3"/>
      <c r="BM250" s="3"/>
    </row>
    <row r="251" spans="1:65" s="4" customFormat="1" ht="96.6" hidden="1" customHeight="1" x14ac:dyDescent="0.25">
      <c r="A251" s="56" t="s">
        <v>270</v>
      </c>
      <c r="B251" s="13" t="s">
        <v>183</v>
      </c>
      <c r="C251" s="14" t="s">
        <v>437</v>
      </c>
      <c r="D251" s="46">
        <v>1205289100</v>
      </c>
      <c r="E251" s="46">
        <v>1153819300</v>
      </c>
      <c r="F251" s="46">
        <v>1153819300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109"/>
      <c r="V251" s="3"/>
      <c r="W251" s="3"/>
      <c r="X251" s="3"/>
      <c r="Y251" s="3"/>
      <c r="AB251" s="5"/>
      <c r="AC251" s="5"/>
      <c r="AD251" s="5"/>
      <c r="AE251" s="5"/>
      <c r="AF251" s="5"/>
      <c r="AG251" s="5"/>
      <c r="AH251" s="3"/>
      <c r="AI251" s="3"/>
      <c r="AJ251" s="3"/>
      <c r="AK251" s="3"/>
      <c r="AL251" s="3"/>
      <c r="AM251" s="3"/>
      <c r="AN251" s="3"/>
      <c r="AO251" s="3"/>
      <c r="AP251" s="3"/>
      <c r="AQ251" s="6"/>
      <c r="AR251" s="6"/>
      <c r="AS251" s="3"/>
      <c r="AT251" s="3"/>
      <c r="AU251" s="3"/>
      <c r="AV251" s="3"/>
      <c r="BL251" s="3"/>
      <c r="BM251" s="3"/>
    </row>
    <row r="252" spans="1:65" s="4" customFormat="1" ht="71.400000000000006" hidden="1" customHeight="1" x14ac:dyDescent="0.25">
      <c r="A252" s="56" t="s">
        <v>271</v>
      </c>
      <c r="B252" s="13" t="s">
        <v>183</v>
      </c>
      <c r="C252" s="14" t="s">
        <v>438</v>
      </c>
      <c r="D252" s="46">
        <v>1188900200</v>
      </c>
      <c r="E252" s="46">
        <v>1117357900</v>
      </c>
      <c r="F252" s="46">
        <v>1117357900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109"/>
      <c r="V252" s="3"/>
      <c r="W252" s="3"/>
      <c r="X252" s="3"/>
      <c r="Y252" s="3"/>
      <c r="AB252" s="5"/>
      <c r="AC252" s="5"/>
      <c r="AD252" s="5"/>
      <c r="AE252" s="5"/>
      <c r="AF252" s="5"/>
      <c r="AG252" s="5"/>
      <c r="AH252" s="3"/>
      <c r="AI252" s="3"/>
      <c r="AJ252" s="3"/>
      <c r="AK252" s="3"/>
      <c r="AL252" s="3"/>
      <c r="AM252" s="3"/>
      <c r="AN252" s="3"/>
      <c r="AO252" s="3"/>
      <c r="AP252" s="3"/>
      <c r="AQ252" s="6"/>
      <c r="AR252" s="6"/>
      <c r="AS252" s="3"/>
      <c r="AT252" s="3"/>
      <c r="AU252" s="3"/>
      <c r="AV252" s="3"/>
      <c r="BL252" s="3"/>
      <c r="BM252" s="3"/>
    </row>
    <row r="253" spans="1:65" s="4" customFormat="1" ht="16.2" customHeight="1" x14ac:dyDescent="0.25">
      <c r="A253" s="56" t="s">
        <v>377</v>
      </c>
      <c r="B253" s="13" t="s">
        <v>5</v>
      </c>
      <c r="C253" s="14" t="s">
        <v>423</v>
      </c>
      <c r="D253" s="46">
        <f>+D258+D256+D254+D260</f>
        <v>117911100</v>
      </c>
      <c r="E253" s="46">
        <f t="shared" ref="E253" si="82">+E258+E256+E254+E260</f>
        <v>115918600</v>
      </c>
      <c r="F253" s="46">
        <f>+F258+F256+F254</f>
        <v>116045600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109"/>
      <c r="V253" s="3"/>
      <c r="W253" s="3"/>
      <c r="X253" s="3"/>
      <c r="Y253" s="3"/>
      <c r="AB253" s="5"/>
      <c r="AC253" s="5"/>
      <c r="AD253" s="5"/>
      <c r="AE253" s="5"/>
      <c r="AF253" s="5"/>
      <c r="AG253" s="5"/>
      <c r="AH253" s="3"/>
      <c r="AI253" s="3"/>
      <c r="AJ253" s="3"/>
      <c r="AK253" s="3"/>
      <c r="AL253" s="3"/>
      <c r="AM253" s="3"/>
      <c r="AN253" s="3"/>
      <c r="AO253" s="3"/>
      <c r="AP253" s="3"/>
      <c r="AQ253" s="6"/>
      <c r="AR253" s="6"/>
      <c r="AS253" s="3"/>
      <c r="AT253" s="3"/>
      <c r="AU253" s="3"/>
      <c r="AV253" s="3"/>
      <c r="BL253" s="3"/>
      <c r="BM253" s="3"/>
    </row>
    <row r="254" spans="1:65" s="4" customFormat="1" ht="123.6" customHeight="1" x14ac:dyDescent="0.25">
      <c r="A254" s="141" t="s">
        <v>386</v>
      </c>
      <c r="B254" s="13" t="s">
        <v>5</v>
      </c>
      <c r="C254" s="142" t="s">
        <v>422</v>
      </c>
      <c r="D254" s="46">
        <f>+D255</f>
        <v>1687400</v>
      </c>
      <c r="E254" s="46">
        <f t="shared" ref="E254:F254" si="83">+E255</f>
        <v>1687400</v>
      </c>
      <c r="F254" s="46">
        <f t="shared" si="83"/>
        <v>1687400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109"/>
      <c r="V254" s="3"/>
      <c r="W254" s="3"/>
      <c r="X254" s="3"/>
      <c r="Y254" s="3"/>
      <c r="AB254" s="5"/>
      <c r="AC254" s="5"/>
      <c r="AD254" s="5"/>
      <c r="AE254" s="5"/>
      <c r="AF254" s="5"/>
      <c r="AG254" s="5"/>
      <c r="AH254" s="3"/>
      <c r="AI254" s="3"/>
      <c r="AJ254" s="3"/>
      <c r="AK254" s="3"/>
      <c r="AL254" s="3"/>
      <c r="AM254" s="3"/>
      <c r="AN254" s="3"/>
      <c r="AO254" s="3"/>
      <c r="AP254" s="3"/>
      <c r="AQ254" s="6"/>
      <c r="AR254" s="6"/>
      <c r="AS254" s="3"/>
      <c r="AT254" s="3"/>
      <c r="AU254" s="3"/>
      <c r="AV254" s="3"/>
      <c r="BL254" s="3"/>
      <c r="BM254" s="3"/>
    </row>
    <row r="255" spans="1:65" s="4" customFormat="1" ht="123" hidden="1" customHeight="1" x14ac:dyDescent="0.25">
      <c r="A255" s="141" t="s">
        <v>378</v>
      </c>
      <c r="B255" s="13" t="s">
        <v>183</v>
      </c>
      <c r="C255" s="142" t="s">
        <v>379</v>
      </c>
      <c r="D255" s="46">
        <v>1687400</v>
      </c>
      <c r="E255" s="46">
        <v>1687400</v>
      </c>
      <c r="F255" s="46">
        <v>1687400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109"/>
      <c r="V255" s="3"/>
      <c r="W255" s="3"/>
      <c r="X255" s="3"/>
      <c r="Y255" s="3"/>
      <c r="AB255" s="5"/>
      <c r="AC255" s="5"/>
      <c r="AD255" s="5"/>
      <c r="AE255" s="5"/>
      <c r="AF255" s="5"/>
      <c r="AG255" s="5"/>
      <c r="AH255" s="3"/>
      <c r="AI255" s="3"/>
      <c r="AJ255" s="3"/>
      <c r="AK255" s="3"/>
      <c r="AL255" s="3"/>
      <c r="AM255" s="3"/>
      <c r="AN255" s="3"/>
      <c r="AO255" s="3"/>
      <c r="AP255" s="3"/>
      <c r="AQ255" s="6"/>
      <c r="AR255" s="6"/>
      <c r="AS255" s="3"/>
      <c r="AT255" s="3"/>
      <c r="AU255" s="3"/>
      <c r="AV255" s="3"/>
      <c r="BL255" s="3"/>
      <c r="BM255" s="3"/>
    </row>
    <row r="256" spans="1:65" s="4" customFormat="1" ht="67.95" customHeight="1" x14ac:dyDescent="0.25">
      <c r="A256" s="56" t="s">
        <v>380</v>
      </c>
      <c r="B256" s="13" t="s">
        <v>5</v>
      </c>
      <c r="C256" s="14" t="s">
        <v>421</v>
      </c>
      <c r="D256" s="46">
        <f>+D257</f>
        <v>5613400</v>
      </c>
      <c r="E256" s="46">
        <f t="shared" ref="E256:F256" si="84">+E257</f>
        <v>5698900</v>
      </c>
      <c r="F256" s="46">
        <f t="shared" si="84"/>
        <v>5802300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109"/>
      <c r="V256" s="3"/>
      <c r="W256" s="3"/>
      <c r="X256" s="3"/>
      <c r="Y256" s="3"/>
      <c r="AB256" s="5"/>
      <c r="AC256" s="5"/>
      <c r="AD256" s="5"/>
      <c r="AE256" s="5"/>
      <c r="AF256" s="5"/>
      <c r="AG256" s="5"/>
      <c r="AH256" s="3"/>
      <c r="AI256" s="3"/>
      <c r="AJ256" s="3"/>
      <c r="AK256" s="3"/>
      <c r="AL256" s="3"/>
      <c r="AM256" s="3"/>
      <c r="AN256" s="3"/>
      <c r="AO256" s="3"/>
      <c r="AP256" s="3"/>
      <c r="AQ256" s="6"/>
      <c r="AR256" s="6"/>
      <c r="AS256" s="3"/>
      <c r="AT256" s="3"/>
      <c r="AU256" s="3"/>
      <c r="AV256" s="3"/>
      <c r="BL256" s="3"/>
      <c r="BM256" s="3"/>
    </row>
    <row r="257" spans="1:65" s="4" customFormat="1" ht="68.400000000000006" hidden="1" customHeight="1" x14ac:dyDescent="0.25">
      <c r="A257" s="56" t="s">
        <v>381</v>
      </c>
      <c r="B257" s="13" t="s">
        <v>183</v>
      </c>
      <c r="C257" s="14" t="s">
        <v>382</v>
      </c>
      <c r="D257" s="46">
        <v>5613400</v>
      </c>
      <c r="E257" s="46">
        <v>5698900</v>
      </c>
      <c r="F257" s="46">
        <v>5802300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109"/>
      <c r="V257" s="3"/>
      <c r="W257" s="3"/>
      <c r="X257" s="3"/>
      <c r="Y257" s="3"/>
      <c r="AB257" s="5"/>
      <c r="AC257" s="5"/>
      <c r="AD257" s="5"/>
      <c r="AE257" s="5"/>
      <c r="AF257" s="5"/>
      <c r="AG257" s="5"/>
      <c r="AH257" s="3"/>
      <c r="AI257" s="3"/>
      <c r="AJ257" s="3"/>
      <c r="AK257" s="3"/>
      <c r="AL257" s="3"/>
      <c r="AM257" s="3"/>
      <c r="AN257" s="3"/>
      <c r="AO257" s="3"/>
      <c r="AP257" s="3"/>
      <c r="AQ257" s="6"/>
      <c r="AR257" s="6"/>
      <c r="AS257" s="3"/>
      <c r="AT257" s="3"/>
      <c r="AU257" s="3"/>
      <c r="AV257" s="3"/>
      <c r="BL257" s="3"/>
      <c r="BM257" s="3"/>
    </row>
    <row r="258" spans="1:65" s="4" customFormat="1" ht="99.6" customHeight="1" x14ac:dyDescent="0.25">
      <c r="A258" s="56" t="s">
        <v>383</v>
      </c>
      <c r="B258" s="13" t="s">
        <v>5</v>
      </c>
      <c r="C258" s="14" t="s">
        <v>420</v>
      </c>
      <c r="D258" s="46">
        <f>+D259</f>
        <v>108504800</v>
      </c>
      <c r="E258" s="46">
        <f t="shared" ref="E258:F258" si="85">+E259</f>
        <v>108532300</v>
      </c>
      <c r="F258" s="46">
        <f t="shared" si="85"/>
        <v>108555900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109"/>
      <c r="V258" s="3"/>
      <c r="W258" s="3"/>
      <c r="X258" s="3"/>
      <c r="Y258" s="3"/>
      <c r="AB258" s="5"/>
      <c r="AC258" s="5"/>
      <c r="AD258" s="5"/>
      <c r="AE258" s="5"/>
      <c r="AF258" s="5"/>
      <c r="AG258" s="5"/>
      <c r="AH258" s="3"/>
      <c r="AI258" s="3"/>
      <c r="AJ258" s="3"/>
      <c r="AK258" s="3"/>
      <c r="AL258" s="3"/>
      <c r="AM258" s="3"/>
      <c r="AN258" s="3"/>
      <c r="AO258" s="3"/>
      <c r="AP258" s="3"/>
      <c r="AQ258" s="6"/>
      <c r="AR258" s="6"/>
      <c r="AS258" s="3"/>
      <c r="AT258" s="3"/>
      <c r="AU258" s="3"/>
      <c r="AV258" s="3"/>
      <c r="BL258" s="3"/>
      <c r="BM258" s="3"/>
    </row>
    <row r="259" spans="1:65" s="4" customFormat="1" ht="95.4" hidden="1" customHeight="1" x14ac:dyDescent="0.25">
      <c r="A259" s="56" t="s">
        <v>384</v>
      </c>
      <c r="B259" s="13" t="s">
        <v>183</v>
      </c>
      <c r="C259" s="14" t="s">
        <v>385</v>
      </c>
      <c r="D259" s="46">
        <v>108504800</v>
      </c>
      <c r="E259" s="46">
        <v>108532300</v>
      </c>
      <c r="F259" s="46">
        <v>108555900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109"/>
      <c r="V259" s="3"/>
      <c r="W259" s="3"/>
      <c r="X259" s="3"/>
      <c r="Y259" s="3"/>
      <c r="AB259" s="5"/>
      <c r="AC259" s="5"/>
      <c r="AD259" s="5"/>
      <c r="AE259" s="5"/>
      <c r="AF259" s="5"/>
      <c r="AG259" s="5"/>
      <c r="AH259" s="3"/>
      <c r="AI259" s="3"/>
      <c r="AJ259" s="3"/>
      <c r="AK259" s="3"/>
      <c r="AL259" s="3"/>
      <c r="AM259" s="3"/>
      <c r="AN259" s="3"/>
      <c r="AO259" s="3"/>
      <c r="AP259" s="3"/>
      <c r="AQ259" s="6"/>
      <c r="AR259" s="6"/>
      <c r="AS259" s="3"/>
      <c r="AT259" s="3"/>
      <c r="AU259" s="3"/>
      <c r="AV259" s="3"/>
      <c r="BL259" s="3"/>
      <c r="BM259" s="3"/>
    </row>
    <row r="260" spans="1:65" s="4" customFormat="1" ht="18" customHeight="1" x14ac:dyDescent="0.25">
      <c r="A260" s="56" t="s">
        <v>430</v>
      </c>
      <c r="B260" s="13" t="s">
        <v>5</v>
      </c>
      <c r="C260" s="14" t="s">
        <v>431</v>
      </c>
      <c r="D260" s="46">
        <f>+D261</f>
        <v>2105500</v>
      </c>
      <c r="E260" s="46">
        <f t="shared" ref="E260:F260" si="86">+E261</f>
        <v>0</v>
      </c>
      <c r="F260" s="46">
        <f t="shared" si="86"/>
        <v>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109"/>
      <c r="V260" s="3"/>
      <c r="W260" s="3"/>
      <c r="X260" s="3"/>
      <c r="Y260" s="3"/>
      <c r="AB260" s="5"/>
      <c r="AC260" s="5"/>
      <c r="AD260" s="5"/>
      <c r="AE260" s="5"/>
      <c r="AF260" s="5"/>
      <c r="AG260" s="5"/>
      <c r="AH260" s="3"/>
      <c r="AI260" s="3"/>
      <c r="AJ260" s="3"/>
      <c r="AK260" s="3"/>
      <c r="AL260" s="3"/>
      <c r="AM260" s="3"/>
      <c r="AN260" s="3"/>
      <c r="AO260" s="3"/>
      <c r="AP260" s="3"/>
      <c r="AQ260" s="6"/>
      <c r="AR260" s="6"/>
      <c r="AS260" s="3"/>
      <c r="AT260" s="3"/>
      <c r="AU260" s="3"/>
      <c r="AV260" s="3"/>
      <c r="BL260" s="3"/>
      <c r="BM260" s="3"/>
    </row>
    <row r="261" spans="1:65" s="4" customFormat="1" ht="74.400000000000006" hidden="1" customHeight="1" x14ac:dyDescent="0.25">
      <c r="A261" s="56" t="s">
        <v>433</v>
      </c>
      <c r="B261" s="13" t="s">
        <v>183</v>
      </c>
      <c r="C261" s="14" t="s">
        <v>432</v>
      </c>
      <c r="D261" s="46">
        <v>2105500</v>
      </c>
      <c r="E261" s="46">
        <v>0</v>
      </c>
      <c r="F261" s="46"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109"/>
      <c r="V261" s="3"/>
      <c r="W261" s="3"/>
      <c r="X261" s="3"/>
      <c r="Y261" s="3"/>
      <c r="AB261" s="5"/>
      <c r="AC261" s="5"/>
      <c r="AD261" s="5"/>
      <c r="AE261" s="5"/>
      <c r="AF261" s="5"/>
      <c r="AG261" s="5"/>
      <c r="AH261" s="3"/>
      <c r="AI261" s="3"/>
      <c r="AJ261" s="3"/>
      <c r="AK261" s="3"/>
      <c r="AL261" s="3"/>
      <c r="AM261" s="3"/>
      <c r="AN261" s="3"/>
      <c r="AO261" s="3"/>
      <c r="AP261" s="3"/>
      <c r="AQ261" s="6"/>
      <c r="AR261" s="6"/>
      <c r="AS261" s="3"/>
      <c r="AT261" s="3"/>
      <c r="AU261" s="3"/>
      <c r="AV261" s="3"/>
      <c r="BL261" s="3"/>
      <c r="BM261" s="3"/>
    </row>
    <row r="262" spans="1:65" s="4" customFormat="1" ht="19.2" customHeight="1" x14ac:dyDescent="0.25">
      <c r="A262" s="72" t="s">
        <v>461</v>
      </c>
      <c r="B262" s="13" t="s">
        <v>5</v>
      </c>
      <c r="C262" s="73" t="s">
        <v>510</v>
      </c>
      <c r="D262" s="46">
        <f>+D263</f>
        <v>5505500</v>
      </c>
      <c r="E262" s="46">
        <f t="shared" ref="E262:F262" si="87">+E263</f>
        <v>0</v>
      </c>
      <c r="F262" s="46">
        <f t="shared" si="87"/>
        <v>0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109"/>
      <c r="V262" s="3"/>
      <c r="W262" s="3"/>
      <c r="X262" s="3"/>
      <c r="Y262" s="3"/>
      <c r="AB262" s="5"/>
      <c r="AC262" s="5"/>
      <c r="AD262" s="5"/>
      <c r="AE262" s="5"/>
      <c r="AF262" s="5"/>
      <c r="AG262" s="5"/>
      <c r="AH262" s="3"/>
      <c r="AI262" s="3"/>
      <c r="AJ262" s="3"/>
      <c r="AK262" s="3"/>
      <c r="AL262" s="3"/>
      <c r="AM262" s="3"/>
      <c r="AN262" s="3"/>
      <c r="AO262" s="3"/>
      <c r="AP262" s="3"/>
      <c r="AQ262" s="6"/>
      <c r="AR262" s="6"/>
      <c r="AS262" s="3"/>
      <c r="AT262" s="3"/>
      <c r="AU262" s="3"/>
      <c r="AV262" s="3"/>
      <c r="BL262" s="3"/>
      <c r="BM262" s="3"/>
    </row>
    <row r="263" spans="1:65" s="4" customFormat="1" ht="29.4" hidden="1" customHeight="1" x14ac:dyDescent="0.25">
      <c r="A263" s="72" t="s">
        <v>462</v>
      </c>
      <c r="B263" s="13" t="s">
        <v>5</v>
      </c>
      <c r="C263" s="73" t="s">
        <v>463</v>
      </c>
      <c r="D263" s="46">
        <f>+D264</f>
        <v>5505500</v>
      </c>
      <c r="E263" s="46">
        <f t="shared" ref="E263:F263" si="88">+E264</f>
        <v>0</v>
      </c>
      <c r="F263" s="46">
        <f t="shared" si="88"/>
        <v>0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109"/>
      <c r="V263" s="3"/>
      <c r="W263" s="3"/>
      <c r="X263" s="3"/>
      <c r="Y263" s="3"/>
      <c r="AB263" s="5"/>
      <c r="AC263" s="5"/>
      <c r="AD263" s="5"/>
      <c r="AE263" s="5"/>
      <c r="AF263" s="5"/>
      <c r="AG263" s="5"/>
      <c r="AH263" s="3"/>
      <c r="AI263" s="3"/>
      <c r="AJ263" s="3"/>
      <c r="AK263" s="3"/>
      <c r="AL263" s="3"/>
      <c r="AM263" s="3"/>
      <c r="AN263" s="3"/>
      <c r="AO263" s="3"/>
      <c r="AP263" s="3"/>
      <c r="AQ263" s="6"/>
      <c r="AR263" s="6"/>
      <c r="AS263" s="3"/>
      <c r="AT263" s="3"/>
      <c r="AU263" s="3"/>
      <c r="AV263" s="3"/>
      <c r="BL263" s="3"/>
      <c r="BM263" s="3"/>
    </row>
    <row r="264" spans="1:65" s="4" customFormat="1" ht="30" hidden="1" customHeight="1" x14ac:dyDescent="0.25">
      <c r="A264" s="72" t="s">
        <v>462</v>
      </c>
      <c r="B264" s="13" t="s">
        <v>157</v>
      </c>
      <c r="C264" s="73" t="s">
        <v>464</v>
      </c>
      <c r="D264" s="46">
        <v>5505500</v>
      </c>
      <c r="E264" s="46">
        <v>0</v>
      </c>
      <c r="F264" s="46">
        <v>0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109"/>
      <c r="V264" s="3"/>
      <c r="W264" s="3"/>
      <c r="X264" s="3"/>
      <c r="Y264" s="3"/>
      <c r="AB264" s="5"/>
      <c r="AC264" s="5"/>
      <c r="AD264" s="5"/>
      <c r="AE264" s="5"/>
      <c r="AF264" s="5"/>
      <c r="AG264" s="5"/>
      <c r="AH264" s="3"/>
      <c r="AI264" s="3"/>
      <c r="AJ264" s="3"/>
      <c r="AK264" s="3"/>
      <c r="AL264" s="3"/>
      <c r="AM264" s="3"/>
      <c r="AN264" s="3"/>
      <c r="AO264" s="3"/>
      <c r="AP264" s="3"/>
      <c r="AQ264" s="6"/>
      <c r="AR264" s="6"/>
      <c r="AS264" s="3"/>
      <c r="AT264" s="3"/>
      <c r="AU264" s="3"/>
      <c r="AV264" s="3"/>
      <c r="BL264" s="3"/>
      <c r="BM264" s="3"/>
    </row>
    <row r="265" spans="1:65" s="4" customFormat="1" ht="43.95" customHeight="1" x14ac:dyDescent="0.25">
      <c r="A265" s="60" t="s">
        <v>397</v>
      </c>
      <c r="B265" s="13" t="s">
        <v>5</v>
      </c>
      <c r="C265" s="32" t="s">
        <v>427</v>
      </c>
      <c r="D265" s="46">
        <f>+D266</f>
        <v>133797.81</v>
      </c>
      <c r="E265" s="46">
        <f t="shared" ref="E265:F267" si="89">+E266</f>
        <v>0</v>
      </c>
      <c r="F265" s="46">
        <f t="shared" si="89"/>
        <v>0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109"/>
      <c r="V265" s="3"/>
      <c r="W265" s="3"/>
      <c r="X265" s="3"/>
      <c r="Y265" s="3"/>
      <c r="AB265" s="5"/>
      <c r="AC265" s="5"/>
      <c r="AD265" s="5"/>
      <c r="AE265" s="5"/>
      <c r="AF265" s="5"/>
      <c r="AG265" s="5"/>
      <c r="AH265" s="3"/>
      <c r="AI265" s="3"/>
      <c r="AJ265" s="3"/>
      <c r="AK265" s="3"/>
      <c r="AL265" s="3"/>
      <c r="AM265" s="3"/>
      <c r="AN265" s="3"/>
      <c r="AO265" s="3"/>
      <c r="AP265" s="3"/>
      <c r="AQ265" s="6"/>
      <c r="AR265" s="6"/>
      <c r="AS265" s="3"/>
      <c r="AT265" s="3"/>
      <c r="AU265" s="3"/>
      <c r="AV265" s="3"/>
      <c r="BL265" s="3"/>
      <c r="BM265" s="3"/>
    </row>
    <row r="266" spans="1:65" s="4" customFormat="1" ht="69.599999999999994" customHeight="1" x14ac:dyDescent="0.25">
      <c r="A266" s="60" t="s">
        <v>398</v>
      </c>
      <c r="B266" s="13" t="s">
        <v>5</v>
      </c>
      <c r="C266" s="32" t="s">
        <v>428</v>
      </c>
      <c r="D266" s="46">
        <f>+D267</f>
        <v>133797.81</v>
      </c>
      <c r="E266" s="46">
        <f t="shared" si="89"/>
        <v>0</v>
      </c>
      <c r="F266" s="46">
        <f t="shared" si="89"/>
        <v>0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109"/>
      <c r="V266" s="3"/>
      <c r="W266" s="3"/>
      <c r="X266" s="3"/>
      <c r="Y266" s="3"/>
      <c r="AB266" s="5"/>
      <c r="AC266" s="5"/>
      <c r="AD266" s="5"/>
      <c r="AE266" s="5"/>
      <c r="AF266" s="5"/>
      <c r="AG266" s="5"/>
      <c r="AH266" s="3"/>
      <c r="AI266" s="3"/>
      <c r="AJ266" s="3"/>
      <c r="AK266" s="3"/>
      <c r="AL266" s="3"/>
      <c r="AM266" s="3"/>
      <c r="AN266" s="3"/>
      <c r="AO266" s="3"/>
      <c r="AP266" s="3"/>
      <c r="AQ266" s="6"/>
      <c r="AR266" s="6"/>
      <c r="AS266" s="3"/>
      <c r="AT266" s="3"/>
      <c r="AU266" s="3"/>
      <c r="AV266" s="3"/>
      <c r="BL266" s="3"/>
      <c r="BM266" s="3"/>
    </row>
    <row r="267" spans="1:65" s="4" customFormat="1" ht="70.95" hidden="1" customHeight="1" x14ac:dyDescent="0.25">
      <c r="A267" s="60" t="s">
        <v>399</v>
      </c>
      <c r="B267" s="13" t="s">
        <v>5</v>
      </c>
      <c r="C267" s="32" t="s">
        <v>400</v>
      </c>
      <c r="D267" s="46">
        <f>+D268</f>
        <v>133797.81</v>
      </c>
      <c r="E267" s="46">
        <f t="shared" si="89"/>
        <v>0</v>
      </c>
      <c r="F267" s="46">
        <f t="shared" si="89"/>
        <v>0</v>
      </c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109"/>
      <c r="V267" s="3"/>
      <c r="W267" s="3"/>
      <c r="X267" s="3"/>
      <c r="Y267" s="3"/>
      <c r="AB267" s="5"/>
      <c r="AC267" s="5"/>
      <c r="AD267" s="5"/>
      <c r="AE267" s="5"/>
      <c r="AF267" s="5"/>
      <c r="AG267" s="5"/>
      <c r="AH267" s="3"/>
      <c r="AI267" s="3"/>
      <c r="AJ267" s="3"/>
      <c r="AK267" s="3"/>
      <c r="AL267" s="3"/>
      <c r="AM267" s="3"/>
      <c r="AN267" s="3"/>
      <c r="AO267" s="3"/>
      <c r="AP267" s="3"/>
      <c r="AQ267" s="6"/>
      <c r="AR267" s="6"/>
      <c r="AS267" s="3"/>
      <c r="AT267" s="3"/>
      <c r="AU267" s="3"/>
      <c r="AV267" s="3"/>
      <c r="BL267" s="3"/>
      <c r="BM267" s="3"/>
    </row>
    <row r="268" spans="1:65" s="4" customFormat="1" ht="27" hidden="1" customHeight="1" x14ac:dyDescent="0.25">
      <c r="A268" s="60" t="s">
        <v>401</v>
      </c>
      <c r="B268" s="13" t="s">
        <v>5</v>
      </c>
      <c r="C268" s="32" t="s">
        <v>402</v>
      </c>
      <c r="D268" s="46">
        <f>+D269+D270</f>
        <v>133797.81</v>
      </c>
      <c r="E268" s="46">
        <f t="shared" ref="E268:F268" si="90">+E269+E270</f>
        <v>0</v>
      </c>
      <c r="F268" s="46">
        <f t="shared" si="90"/>
        <v>0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109"/>
      <c r="V268" s="3"/>
      <c r="W268" s="3"/>
      <c r="X268" s="3"/>
      <c r="Y268" s="3"/>
      <c r="AB268" s="5"/>
      <c r="AC268" s="5"/>
      <c r="AD268" s="5"/>
      <c r="AE268" s="5"/>
      <c r="AF268" s="5"/>
      <c r="AG268" s="5"/>
      <c r="AH268" s="3"/>
      <c r="AI268" s="3"/>
      <c r="AJ268" s="3"/>
      <c r="AK268" s="3"/>
      <c r="AL268" s="3"/>
      <c r="AM268" s="3"/>
      <c r="AN268" s="3"/>
      <c r="AO268" s="3"/>
      <c r="AP268" s="3"/>
      <c r="AQ268" s="6"/>
      <c r="AR268" s="6"/>
      <c r="AS268" s="3"/>
      <c r="AT268" s="3"/>
      <c r="AU268" s="3"/>
      <c r="AV268" s="3"/>
      <c r="BL268" s="3"/>
      <c r="BM268" s="3"/>
    </row>
    <row r="269" spans="1:65" s="4" customFormat="1" ht="28.2" hidden="1" customHeight="1" x14ac:dyDescent="0.25">
      <c r="A269" s="60" t="s">
        <v>403</v>
      </c>
      <c r="B269" s="13" t="s">
        <v>267</v>
      </c>
      <c r="C269" s="32" t="s">
        <v>404</v>
      </c>
      <c r="D269" s="105">
        <v>132345.60000000001</v>
      </c>
      <c r="E269" s="46">
        <v>0</v>
      </c>
      <c r="F269" s="46">
        <v>0</v>
      </c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109"/>
      <c r="V269" s="3"/>
      <c r="W269" s="3"/>
      <c r="X269" s="3"/>
      <c r="Y269" s="3"/>
      <c r="AB269" s="5"/>
      <c r="AC269" s="5"/>
      <c r="AD269" s="5"/>
      <c r="AE269" s="5"/>
      <c r="AF269" s="5"/>
      <c r="AG269" s="5"/>
      <c r="AH269" s="3"/>
      <c r="AI269" s="3"/>
      <c r="AJ269" s="3"/>
      <c r="AK269" s="3"/>
      <c r="AL269" s="3"/>
      <c r="AM269" s="3"/>
      <c r="AN269" s="3"/>
      <c r="AO269" s="3"/>
      <c r="AP269" s="3"/>
      <c r="AQ269" s="6"/>
      <c r="AR269" s="6"/>
      <c r="AS269" s="3"/>
      <c r="AT269" s="3"/>
      <c r="AU269" s="3"/>
      <c r="AV269" s="3"/>
      <c r="BL269" s="3"/>
      <c r="BM269" s="3"/>
    </row>
    <row r="270" spans="1:65" s="4" customFormat="1" ht="28.2" hidden="1" customHeight="1" x14ac:dyDescent="0.25">
      <c r="A270" s="60" t="s">
        <v>403</v>
      </c>
      <c r="B270" s="13" t="s">
        <v>157</v>
      </c>
      <c r="C270" s="32" t="s">
        <v>404</v>
      </c>
      <c r="D270" s="46">
        <f>74.09+1378.12</f>
        <v>1452.2099999999998</v>
      </c>
      <c r="E270" s="46">
        <v>0</v>
      </c>
      <c r="F270" s="46">
        <v>0</v>
      </c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109"/>
      <c r="V270" s="3"/>
      <c r="W270" s="3"/>
      <c r="X270" s="3"/>
      <c r="Y270" s="3"/>
      <c r="AB270" s="5"/>
      <c r="AC270" s="5"/>
      <c r="AD270" s="5"/>
      <c r="AE270" s="5"/>
      <c r="AF270" s="5"/>
      <c r="AG270" s="5"/>
      <c r="AH270" s="3"/>
      <c r="AI270" s="3"/>
      <c r="AJ270" s="3"/>
      <c r="AK270" s="3"/>
      <c r="AL270" s="3"/>
      <c r="AM270" s="3"/>
      <c r="AN270" s="3"/>
      <c r="AO270" s="3"/>
      <c r="AP270" s="3"/>
      <c r="AQ270" s="6"/>
      <c r="AR270" s="6"/>
      <c r="AS270" s="3"/>
      <c r="AT270" s="3"/>
      <c r="AU270" s="3"/>
      <c r="AV270" s="3"/>
      <c r="BL270" s="3"/>
      <c r="BM270" s="3"/>
    </row>
    <row r="271" spans="1:65" s="4" customFormat="1" ht="31.95" customHeight="1" x14ac:dyDescent="0.25">
      <c r="A271" s="61" t="s">
        <v>405</v>
      </c>
      <c r="B271" s="13" t="s">
        <v>5</v>
      </c>
      <c r="C271" s="102" t="s">
        <v>429</v>
      </c>
      <c r="D271" s="46">
        <f>+D272</f>
        <v>-115814.59</v>
      </c>
      <c r="E271" s="46">
        <f t="shared" ref="E271:F271" si="91">+E272</f>
        <v>0</v>
      </c>
      <c r="F271" s="46">
        <f t="shared" si="91"/>
        <v>0</v>
      </c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109"/>
      <c r="V271" s="3"/>
      <c r="W271" s="3"/>
      <c r="X271" s="3"/>
      <c r="Y271" s="3"/>
      <c r="AB271" s="5"/>
      <c r="AC271" s="5"/>
      <c r="AD271" s="5"/>
      <c r="AE271" s="5"/>
      <c r="AF271" s="5"/>
      <c r="AG271" s="5"/>
      <c r="AH271" s="3"/>
      <c r="AI271" s="3"/>
      <c r="AJ271" s="3"/>
      <c r="AK271" s="3"/>
      <c r="AL271" s="3"/>
      <c r="AM271" s="3"/>
      <c r="AN271" s="3"/>
      <c r="AO271" s="3"/>
      <c r="AP271" s="3"/>
      <c r="AQ271" s="6"/>
      <c r="AR271" s="6"/>
      <c r="AS271" s="3"/>
      <c r="AT271" s="3"/>
      <c r="AU271" s="3"/>
      <c r="AV271" s="3"/>
      <c r="BL271" s="3"/>
      <c r="BM271" s="3"/>
    </row>
    <row r="272" spans="1:65" s="4" customFormat="1" ht="46.95" hidden="1" customHeight="1" x14ac:dyDescent="0.25">
      <c r="A272" s="61" t="s">
        <v>406</v>
      </c>
      <c r="B272" s="13" t="s">
        <v>5</v>
      </c>
      <c r="C272" s="102" t="s">
        <v>407</v>
      </c>
      <c r="D272" s="46">
        <f>+D273+D275+D276+D274</f>
        <v>-115814.59</v>
      </c>
      <c r="E272" s="46">
        <f t="shared" ref="E272:F272" si="92">+E273+E275+E276</f>
        <v>0</v>
      </c>
      <c r="F272" s="46">
        <f t="shared" si="92"/>
        <v>0</v>
      </c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109"/>
      <c r="V272" s="3"/>
      <c r="W272" s="3"/>
      <c r="X272" s="3"/>
      <c r="Y272" s="3"/>
      <c r="AB272" s="5"/>
      <c r="AC272" s="5"/>
      <c r="AD272" s="5"/>
      <c r="AE272" s="5"/>
      <c r="AF272" s="5"/>
      <c r="AG272" s="5"/>
      <c r="AH272" s="3"/>
      <c r="AI272" s="3"/>
      <c r="AJ272" s="3"/>
      <c r="AK272" s="3"/>
      <c r="AL272" s="3"/>
      <c r="AM272" s="3"/>
      <c r="AN272" s="3"/>
      <c r="AO272" s="3"/>
      <c r="AP272" s="3"/>
      <c r="AQ272" s="6"/>
      <c r="AR272" s="6"/>
      <c r="AS272" s="3"/>
      <c r="AT272" s="3"/>
      <c r="AU272" s="3"/>
      <c r="AV272" s="3"/>
      <c r="BL272" s="3"/>
      <c r="BM272" s="3"/>
    </row>
    <row r="273" spans="1:65" s="4" customFormat="1" ht="43.2" hidden="1" customHeight="1" x14ac:dyDescent="0.25">
      <c r="A273" s="101" t="s">
        <v>408</v>
      </c>
      <c r="B273" s="13" t="s">
        <v>267</v>
      </c>
      <c r="C273" s="54" t="s">
        <v>409</v>
      </c>
      <c r="D273" s="46">
        <v>-85045.28</v>
      </c>
      <c r="E273" s="46">
        <v>0</v>
      </c>
      <c r="F273" s="46">
        <v>0</v>
      </c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109"/>
      <c r="V273" s="3"/>
      <c r="W273" s="3"/>
      <c r="X273" s="3"/>
      <c r="Y273" s="3"/>
      <c r="AB273" s="5"/>
      <c r="AC273" s="5"/>
      <c r="AD273" s="5"/>
      <c r="AE273" s="5"/>
      <c r="AF273" s="5"/>
      <c r="AG273" s="5"/>
      <c r="AH273" s="3"/>
      <c r="AI273" s="3"/>
      <c r="AJ273" s="3"/>
      <c r="AK273" s="3"/>
      <c r="AL273" s="3"/>
      <c r="AM273" s="3"/>
      <c r="AN273" s="3"/>
      <c r="AO273" s="3"/>
      <c r="AP273" s="3"/>
      <c r="AQ273" s="6"/>
      <c r="AR273" s="6"/>
      <c r="AS273" s="3"/>
      <c r="AT273" s="3"/>
      <c r="AU273" s="3"/>
      <c r="AV273" s="3"/>
      <c r="BL273" s="3"/>
      <c r="BM273" s="3"/>
    </row>
    <row r="274" spans="1:65" s="4" customFormat="1" ht="55.95" hidden="1" customHeight="1" x14ac:dyDescent="0.25">
      <c r="A274" s="101" t="s">
        <v>412</v>
      </c>
      <c r="B274" s="13" t="s">
        <v>157</v>
      </c>
      <c r="C274" s="54" t="s">
        <v>413</v>
      </c>
      <c r="D274" s="46">
        <v>-1041.8</v>
      </c>
      <c r="E274" s="46">
        <v>0</v>
      </c>
      <c r="F274" s="46">
        <v>0</v>
      </c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109"/>
      <c r="V274" s="3"/>
      <c r="W274" s="3"/>
      <c r="X274" s="3"/>
      <c r="Y274" s="3"/>
      <c r="AB274" s="5"/>
      <c r="AC274" s="5"/>
      <c r="AD274" s="5"/>
      <c r="AE274" s="5"/>
      <c r="AF274" s="5"/>
      <c r="AG274" s="5"/>
      <c r="AH274" s="3"/>
      <c r="AI274" s="3"/>
      <c r="AJ274" s="3"/>
      <c r="AK274" s="3"/>
      <c r="AL274" s="3"/>
      <c r="AM274" s="3"/>
      <c r="AN274" s="3"/>
      <c r="AO274" s="3"/>
      <c r="AP274" s="3"/>
      <c r="AQ274" s="6"/>
      <c r="AR274" s="6"/>
      <c r="AS274" s="3"/>
      <c r="AT274" s="3"/>
      <c r="AU274" s="3"/>
      <c r="AV274" s="3"/>
      <c r="BL274" s="3"/>
      <c r="BM274" s="3"/>
    </row>
    <row r="275" spans="1:65" s="4" customFormat="1" ht="43.95" hidden="1" customHeight="1" x14ac:dyDescent="0.25">
      <c r="A275" s="103" t="s">
        <v>410</v>
      </c>
      <c r="B275" s="13" t="s">
        <v>183</v>
      </c>
      <c r="C275" s="104" t="s">
        <v>411</v>
      </c>
      <c r="D275" s="46">
        <v>-1.5</v>
      </c>
      <c r="E275" s="46">
        <v>0</v>
      </c>
      <c r="F275" s="46">
        <v>0</v>
      </c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109"/>
      <c r="V275" s="3"/>
      <c r="W275" s="3"/>
      <c r="X275" s="3"/>
      <c r="Y275" s="3"/>
      <c r="AB275" s="5"/>
      <c r="AC275" s="5"/>
      <c r="AD275" s="5"/>
      <c r="AE275" s="5"/>
      <c r="AF275" s="5"/>
      <c r="AG275" s="5"/>
      <c r="AH275" s="3"/>
      <c r="AI275" s="3"/>
      <c r="AJ275" s="3"/>
      <c r="AK275" s="3"/>
      <c r="AL275" s="3"/>
      <c r="AM275" s="3"/>
      <c r="AN275" s="3"/>
      <c r="AO275" s="3"/>
      <c r="AP275" s="3"/>
      <c r="AQ275" s="6"/>
      <c r="AR275" s="6"/>
      <c r="AS275" s="3"/>
      <c r="AT275" s="3"/>
      <c r="AU275" s="3"/>
      <c r="AV275" s="3"/>
      <c r="BL275" s="3"/>
      <c r="BM275" s="3"/>
    </row>
    <row r="276" spans="1:65" s="4" customFormat="1" ht="44.4" hidden="1" customHeight="1" x14ac:dyDescent="0.25">
      <c r="A276" s="103" t="s">
        <v>410</v>
      </c>
      <c r="B276" s="13" t="s">
        <v>157</v>
      </c>
      <c r="C276" s="104" t="s">
        <v>411</v>
      </c>
      <c r="D276" s="46">
        <f>-74.09-28273.8-1378.12</f>
        <v>-29726.01</v>
      </c>
      <c r="E276" s="46">
        <v>0</v>
      </c>
      <c r="F276" s="46">
        <v>0</v>
      </c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109"/>
      <c r="V276" s="3"/>
      <c r="W276" s="3"/>
      <c r="X276" s="3"/>
      <c r="Y276" s="3"/>
      <c r="AB276" s="5"/>
      <c r="AC276" s="5"/>
      <c r="AD276" s="5"/>
      <c r="AE276" s="5"/>
      <c r="AF276" s="5"/>
      <c r="AG276" s="5"/>
      <c r="AH276" s="3"/>
      <c r="AI276" s="3"/>
      <c r="AJ276" s="3"/>
      <c r="AK276" s="3"/>
      <c r="AL276" s="3"/>
      <c r="AM276" s="3"/>
      <c r="AN276" s="3"/>
      <c r="AO276" s="3"/>
      <c r="AP276" s="3"/>
      <c r="AQ276" s="6"/>
      <c r="AR276" s="6"/>
      <c r="AS276" s="3"/>
      <c r="AT276" s="3"/>
      <c r="AU276" s="3"/>
      <c r="AV276" s="3"/>
      <c r="BL276" s="3"/>
      <c r="BM276" s="3"/>
    </row>
    <row r="277" spans="1:65" s="6" customFormat="1" ht="16.2" customHeight="1" x14ac:dyDescent="0.25">
      <c r="A277" s="58" t="s">
        <v>198</v>
      </c>
      <c r="B277" s="13"/>
      <c r="C277" s="14"/>
      <c r="D277" s="45">
        <f>+D8+D197</f>
        <v>5144823804.2999992</v>
      </c>
      <c r="E277" s="45">
        <f>+E8+E197</f>
        <v>4214744993.1700001</v>
      </c>
      <c r="F277" s="45">
        <f>+F8+F197</f>
        <v>4368881907.9699993</v>
      </c>
      <c r="U277" s="36"/>
      <c r="AB277" s="5"/>
      <c r="AC277" s="37"/>
      <c r="AD277" s="5"/>
      <c r="AE277" s="5"/>
      <c r="AF277" s="5"/>
      <c r="AG277" s="5"/>
    </row>
    <row r="278" spans="1:65" s="39" customFormat="1" x14ac:dyDescent="0.25">
      <c r="A278" s="68"/>
      <c r="B278" s="40"/>
      <c r="C278" s="41"/>
      <c r="D278" s="40"/>
      <c r="E278" s="40"/>
      <c r="F278" s="6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AH278" s="38"/>
      <c r="AI278" s="38"/>
      <c r="AJ278" s="38"/>
      <c r="AK278" s="38"/>
      <c r="AL278" s="38"/>
      <c r="AM278" s="38"/>
      <c r="AN278" s="38"/>
      <c r="AO278" s="38"/>
      <c r="AP278" s="38"/>
      <c r="AQ278" s="38"/>
      <c r="AR278" s="38"/>
      <c r="AS278" s="38"/>
      <c r="AT278" s="38"/>
      <c r="AU278" s="38"/>
      <c r="AV278" s="38"/>
      <c r="BL278" s="38"/>
      <c r="BM278" s="38"/>
    </row>
    <row r="279" spans="1:65" x14ac:dyDescent="0.25">
      <c r="B279" s="40"/>
      <c r="D279" s="50"/>
      <c r="E279" s="50"/>
    </row>
    <row r="280" spans="1:65" ht="17.399999999999999" x14ac:dyDescent="0.3">
      <c r="A280" s="69"/>
      <c r="B280" s="40"/>
      <c r="D280" s="122"/>
      <c r="E280" s="122"/>
      <c r="I280" s="116"/>
      <c r="J280" s="116"/>
    </row>
    <row r="281" spans="1:65" ht="17.399999999999999" x14ac:dyDescent="0.3">
      <c r="A281" s="123" t="s">
        <v>199</v>
      </c>
      <c r="B281" s="123"/>
      <c r="C281" s="43"/>
      <c r="D281" s="118" t="s">
        <v>223</v>
      </c>
      <c r="E281" s="118"/>
      <c r="F281" s="118"/>
    </row>
    <row r="282" spans="1:65" ht="17.399999999999999" x14ac:dyDescent="0.3">
      <c r="A282" s="112"/>
      <c r="B282" s="112"/>
      <c r="C282" s="43"/>
      <c r="D282" s="44"/>
      <c r="E282" s="44"/>
    </row>
    <row r="283" spans="1:65" ht="17.399999999999999" x14ac:dyDescent="0.3">
      <c r="A283" s="70"/>
      <c r="B283" s="44"/>
      <c r="C283" s="62"/>
      <c r="D283" s="44"/>
      <c r="E283" s="44"/>
      <c r="I283" s="116"/>
      <c r="J283" s="116"/>
    </row>
    <row r="284" spans="1:65" ht="17.399999999999999" x14ac:dyDescent="0.3">
      <c r="A284" s="117" t="s">
        <v>200</v>
      </c>
      <c r="B284" s="117"/>
      <c r="C284" s="62"/>
      <c r="D284" s="118" t="s">
        <v>511</v>
      </c>
      <c r="E284" s="118"/>
      <c r="F284" s="118"/>
    </row>
  </sheetData>
  <mergeCells count="24">
    <mergeCell ref="AQ107:AQ112"/>
    <mergeCell ref="BJ1:BK2"/>
    <mergeCell ref="A3:F3"/>
    <mergeCell ref="A5:A6"/>
    <mergeCell ref="B5:C5"/>
    <mergeCell ref="D5:D6"/>
    <mergeCell ref="E5:E6"/>
    <mergeCell ref="F5:F6"/>
    <mergeCell ref="S8:U8"/>
    <mergeCell ref="S10:U10"/>
    <mergeCell ref="AL26:AL34"/>
    <mergeCell ref="K107:K112"/>
    <mergeCell ref="AL107:AL111"/>
    <mergeCell ref="D1:F1"/>
    <mergeCell ref="I283:J283"/>
    <mergeCell ref="A284:B284"/>
    <mergeCell ref="D284:F284"/>
    <mergeCell ref="AX241:BC241"/>
    <mergeCell ref="AY242:BD242"/>
    <mergeCell ref="AX244:BC244"/>
    <mergeCell ref="D280:E280"/>
    <mergeCell ref="I280:J280"/>
    <mergeCell ref="A281:B281"/>
    <mergeCell ref="D281:F281"/>
  </mergeCells>
  <pageMargins left="1.1811023622047245" right="0.39370078740157483" top="0.59055118110236227" bottom="0.78740157480314965" header="0.31496062992125984" footer="0.31496062992125984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РГД 2025-2027(00.09.25)</vt:lpstr>
      <vt:lpstr>'РГД 2025-2027(00.09.25)'!Заголовки_для_печати</vt:lpstr>
      <vt:lpstr>'РГД 2025-2027(00.09.25)'!Область_печати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2025-09-16T03:09:01Z</dcterms:modified>
</cp:coreProperties>
</file>